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2.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958"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List'!$A$4:$R$132</definedName>
    <definedName name="_xlnm._FilterDatabase" localSheetId="25" hidden="1">'NFI Tracking'!$A$5:$R$437</definedName>
    <definedName name="_xlnm._FilterDatabase" localSheetId="6" hidden="1">ReturntoIH!$A$3:$AA$33</definedName>
    <definedName name="_xlnm._FilterDatabase" localSheetId="20" hidden="1">'Shelter Maintenance'!$B$3:$D$3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List'!$Q$5:$Q$895</definedName>
    <definedName name="Camplist_Popl">'Camp List'!$R$5:$R$895</definedName>
    <definedName name="CampList_Status">'Camp List'!$A$5:$A$895</definedName>
    <definedName name="Camplist_Township">'Camp List'!$F$5:$F$895</definedName>
    <definedName name="CampList_TypeOfAcc">'Camp List'!$V$5:$V$895</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List'!$V$5:$V$132</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A7" i="20" l="1"/>
  <c r="B7" i="20"/>
  <c r="AT7" i="20"/>
  <c r="AU7" i="20"/>
  <c r="A6" i="20" l="1"/>
  <c r="B6" i="20"/>
  <c r="AT6" i="20"/>
  <c r="AU6" i="20"/>
  <c r="H56" i="75"/>
  <c r="H57" i="75"/>
  <c r="H58" i="75"/>
  <c r="H59" i="75"/>
  <c r="H60" i="75"/>
  <c r="H61" i="75"/>
  <c r="H62" i="75"/>
  <c r="H63" i="75"/>
  <c r="H64" i="75"/>
  <c r="D57" i="75"/>
  <c r="D56" i="75"/>
  <c r="D58" i="75"/>
  <c r="D59" i="75"/>
  <c r="D60" i="75"/>
  <c r="D61" i="75"/>
  <c r="D62" i="75"/>
  <c r="D64" i="75"/>
  <c r="D63" i="75"/>
  <c r="D51" i="74"/>
  <c r="D64" i="74"/>
  <c r="D65" i="74"/>
  <c r="D66" i="74"/>
  <c r="D67" i="74"/>
  <c r="D68" i="74"/>
  <c r="D69" i="74"/>
  <c r="D70" i="74"/>
  <c r="D71" i="74"/>
  <c r="D72" i="74"/>
  <c r="D73" i="74"/>
  <c r="D74" i="74"/>
  <c r="D75" i="74"/>
  <c r="H65" i="74"/>
  <c r="H73" i="74"/>
  <c r="H72" i="74"/>
  <c r="H74" i="74"/>
  <c r="H68" i="74"/>
  <c r="H69" i="74"/>
  <c r="H70" i="74"/>
  <c r="H71" i="74"/>
  <c r="H75" i="74"/>
  <c r="H67" i="74"/>
  <c r="H66" i="74"/>
  <c r="H64" i="74"/>
  <c r="AA15" i="14"/>
  <c r="AI15" i="14"/>
  <c r="A10" i="20" l="1"/>
  <c r="B10" i="20"/>
  <c r="AT10" i="20"/>
  <c r="AU10" i="20"/>
  <c r="A9" i="20"/>
  <c r="B9" i="20"/>
  <c r="AT9" i="20"/>
  <c r="AU9" i="20"/>
  <c r="A8" i="20" l="1"/>
  <c r="B8" i="20"/>
  <c r="AT8" i="20"/>
  <c r="AU8" i="20"/>
  <c r="H26" i="75"/>
  <c r="A11" i="20" l="1"/>
  <c r="B11" i="20"/>
  <c r="AT11" i="20"/>
  <c r="AU11" i="20"/>
  <c r="A575" i="20" l="1"/>
  <c r="B575" i="20"/>
  <c r="AT575" i="20"/>
  <c r="AU575" i="20"/>
  <c r="A13" i="20"/>
  <c r="B13" i="20"/>
  <c r="AT13" i="20"/>
  <c r="AU13" i="20"/>
  <c r="A19" i="20"/>
  <c r="B19" i="20"/>
  <c r="AT19" i="20"/>
  <c r="AU19" i="20"/>
  <c r="B5" i="43" l="1"/>
  <c r="A12" i="20" l="1"/>
  <c r="B12" i="20"/>
  <c r="AT12" i="20"/>
  <c r="AU12" i="20"/>
  <c r="K17" i="94" l="1"/>
  <c r="K15" i="94"/>
  <c r="F27" i="94"/>
  <c r="L14" i="94" l="1"/>
  <c r="L7" i="94" l="1"/>
  <c r="L8" i="94"/>
  <c r="L6" i="94"/>
  <c r="L5" i="94"/>
  <c r="F41" i="94"/>
  <c r="F40" i="94"/>
  <c r="F39" i="94"/>
  <c r="F38" i="94"/>
  <c r="F37" i="94"/>
  <c r="F36" i="94"/>
  <c r="X6" i="19" l="1"/>
  <c r="H19" i="36"/>
  <c r="C19" i="36"/>
  <c r="B19" i="36"/>
  <c r="W5" i="19"/>
  <c r="U5" i="19" s="1"/>
  <c r="X5" i="19"/>
  <c r="Y5" i="19"/>
  <c r="Z5" i="19"/>
  <c r="W6" i="19"/>
  <c r="U6" i="19" s="1"/>
  <c r="Y6" i="19"/>
  <c r="Z6" i="19"/>
  <c r="A15" i="20" l="1"/>
  <c r="B15" i="20"/>
  <c r="AT15" i="20"/>
  <c r="AU15" i="20"/>
  <c r="A17" i="20"/>
  <c r="B17" i="20"/>
  <c r="AT17" i="20"/>
  <c r="AU17" i="20"/>
  <c r="A16" i="20"/>
  <c r="B16" i="20"/>
  <c r="AT16" i="20"/>
  <c r="AU16" i="20"/>
  <c r="A14" i="20"/>
  <c r="B14" i="20"/>
  <c r="AT14" i="20"/>
  <c r="AU14" i="20"/>
  <c r="N62" i="37" l="1"/>
  <c r="N63" i="37"/>
  <c r="N64" i="37"/>
  <c r="A26" i="20"/>
  <c r="B26" i="20"/>
  <c r="AT26" i="20"/>
  <c r="AU26" i="20"/>
  <c r="A29" i="20"/>
  <c r="B29" i="20"/>
  <c r="AT29" i="20"/>
  <c r="AU29" i="20"/>
  <c r="A21" i="20" l="1"/>
  <c r="B21" i="20"/>
  <c r="AT21" i="20"/>
  <c r="AU21" i="20"/>
  <c r="A20" i="20"/>
  <c r="B20" i="20"/>
  <c r="AT20" i="20"/>
  <c r="AU20" i="20"/>
  <c r="A18" i="20"/>
  <c r="B18" i="20"/>
  <c r="AT18" i="20"/>
  <c r="AU18" i="20"/>
  <c r="A22" i="20"/>
  <c r="B22" i="20"/>
  <c r="AT22" i="20"/>
  <c r="AU22" i="20"/>
  <c r="A23" i="20" l="1"/>
  <c r="A24" i="20"/>
  <c r="A25" i="20"/>
  <c r="B23" i="20"/>
  <c r="B24" i="20"/>
  <c r="B25" i="20"/>
  <c r="AT23" i="20"/>
  <c r="AT24" i="20"/>
  <c r="AT25" i="20"/>
  <c r="AU23" i="20"/>
  <c r="AU24" i="20"/>
  <c r="AU25" i="20"/>
  <c r="A28" i="20"/>
  <c r="B28" i="20"/>
  <c r="AT28" i="20"/>
  <c r="AU28" i="20"/>
  <c r="A30" i="20"/>
  <c r="B30" i="20"/>
  <c r="AT30" i="20"/>
  <c r="AU30" i="20"/>
  <c r="A27" i="20"/>
  <c r="B27" i="20"/>
  <c r="AT27" i="20"/>
  <c r="AU27" i="20"/>
  <c r="A32" i="20" l="1"/>
  <c r="B32" i="20"/>
  <c r="AT32" i="20"/>
  <c r="AU32" i="20"/>
  <c r="A33" i="20"/>
  <c r="B33" i="20"/>
  <c r="AT33" i="20"/>
  <c r="AU33" i="20"/>
  <c r="A31" i="20"/>
  <c r="B31" i="20"/>
  <c r="AT31" i="20"/>
  <c r="AU31" i="20"/>
  <c r="A34" i="20"/>
  <c r="A35" i="20"/>
  <c r="A36" i="20"/>
  <c r="B34" i="20"/>
  <c r="B35" i="20"/>
  <c r="B36" i="20"/>
  <c r="AT34" i="20"/>
  <c r="AT35" i="20"/>
  <c r="AT36" i="20"/>
  <c r="AU34" i="20"/>
  <c r="AU35" i="20"/>
  <c r="AU36" i="20"/>
  <c r="A39" i="20" l="1"/>
  <c r="B39" i="20"/>
  <c r="AT39" i="20"/>
  <c r="AU39" i="20"/>
  <c r="A38" i="20"/>
  <c r="B38" i="20"/>
  <c r="AT38" i="20"/>
  <c r="AU38" i="20"/>
  <c r="A37" i="20"/>
  <c r="B37" i="20"/>
  <c r="AT37" i="20"/>
  <c r="AU37" i="20"/>
  <c r="A40" i="20"/>
  <c r="B40" i="20"/>
  <c r="AT40" i="20"/>
  <c r="AU40" i="20"/>
  <c r="H138" i="75" l="1"/>
  <c r="H139" i="75"/>
  <c r="H140" i="75"/>
  <c r="H141" i="75"/>
  <c r="H142" i="75"/>
  <c r="H143" i="75"/>
  <c r="H144" i="75"/>
  <c r="H145" i="75"/>
  <c r="H137" i="75"/>
  <c r="B8" i="86" l="1"/>
  <c r="A43" i="20" l="1"/>
  <c r="A42" i="20"/>
  <c r="B42" i="20"/>
  <c r="AT42" i="20"/>
  <c r="AU42" i="20"/>
  <c r="A44" i="20"/>
  <c r="B44" i="20"/>
  <c r="AT44" i="20"/>
  <c r="AU44" i="20"/>
  <c r="B43" i="20"/>
  <c r="AT43" i="20"/>
  <c r="AU43" i="20"/>
  <c r="A45" i="20"/>
  <c r="B45" i="20"/>
  <c r="AT45" i="20"/>
  <c r="AU45" i="20"/>
  <c r="A41" i="20"/>
  <c r="B41" i="20"/>
  <c r="AT41" i="20"/>
  <c r="AU41" i="20"/>
  <c r="AI28" i="14"/>
  <c r="H66" i="75"/>
  <c r="H67" i="75"/>
  <c r="H68" i="75"/>
  <c r="H69" i="75"/>
  <c r="H70" i="75"/>
  <c r="H71" i="75"/>
  <c r="H72" i="75"/>
  <c r="H73" i="75"/>
  <c r="H65" i="75"/>
  <c r="H129" i="75"/>
  <c r="H130" i="75"/>
  <c r="H131" i="75"/>
  <c r="H132" i="75"/>
  <c r="H133" i="75"/>
  <c r="H134" i="75"/>
  <c r="H135" i="75"/>
  <c r="H136" i="75"/>
  <c r="H128" i="75"/>
  <c r="H102" i="75"/>
  <c r="H103" i="75"/>
  <c r="H104" i="75"/>
  <c r="H105" i="75"/>
  <c r="H106" i="75"/>
  <c r="H107" i="75"/>
  <c r="H108" i="75"/>
  <c r="H109" i="75"/>
  <c r="H101" i="75"/>
  <c r="H93" i="75"/>
  <c r="H94" i="75"/>
  <c r="H95" i="75"/>
  <c r="H96" i="75"/>
  <c r="H97" i="75"/>
  <c r="H98" i="75"/>
  <c r="H99" i="75"/>
  <c r="H100" i="75"/>
  <c r="H92" i="75"/>
  <c r="H120" i="75"/>
  <c r="H122" i="75"/>
  <c r="H123" i="75"/>
  <c r="H125" i="75"/>
  <c r="H126" i="75"/>
  <c r="H127" i="75"/>
  <c r="H39" i="75"/>
  <c r="H40" i="75"/>
  <c r="H41" i="75"/>
  <c r="H42" i="75"/>
  <c r="H43" i="75"/>
  <c r="H44" i="75"/>
  <c r="H45" i="75"/>
  <c r="H46" i="75"/>
  <c r="H38" i="75"/>
  <c r="Q11" i="14"/>
  <c r="H30" i="75"/>
  <c r="H31" i="75"/>
  <c r="H32" i="75"/>
  <c r="H33" i="75"/>
  <c r="H34" i="75"/>
  <c r="H35" i="75"/>
  <c r="H36" i="75"/>
  <c r="H37" i="75"/>
  <c r="H29" i="75"/>
  <c r="H21" i="75"/>
  <c r="H23" i="75"/>
  <c r="H24" i="75"/>
  <c r="H27" i="75"/>
  <c r="H28" i="75"/>
  <c r="H20" i="75"/>
  <c r="H156" i="75" l="1"/>
  <c r="H157" i="75"/>
  <c r="H158" i="75"/>
  <c r="H159" i="75"/>
  <c r="H160" i="75"/>
  <c r="H161" i="75"/>
  <c r="H162" i="75"/>
  <c r="H163" i="75"/>
  <c r="H155" i="75"/>
  <c r="H84" i="75"/>
  <c r="H85" i="75"/>
  <c r="H86" i="75"/>
  <c r="H87" i="75"/>
  <c r="H88" i="75"/>
  <c r="H89" i="75"/>
  <c r="H90" i="75"/>
  <c r="H91" i="75"/>
  <c r="H83" i="75"/>
  <c r="W48" i="19" l="1"/>
  <c r="U48" i="19" s="1"/>
  <c r="X48" i="19"/>
  <c r="Y48" i="19"/>
  <c r="Z48" i="19"/>
  <c r="W49" i="19"/>
  <c r="U49" i="19" s="1"/>
  <c r="X49" i="19"/>
  <c r="Y49" i="19"/>
  <c r="Z49" i="19"/>
  <c r="X9" i="19" l="1"/>
  <c r="W9" i="19"/>
  <c r="U9" i="19" s="1"/>
  <c r="Y9" i="19"/>
  <c r="Z9" i="19"/>
  <c r="N19" i="94" l="1"/>
  <c r="N23" i="94"/>
  <c r="N25" i="94"/>
  <c r="J26" i="94"/>
  <c r="L24" i="94"/>
  <c r="L26" i="94" s="1"/>
  <c r="L21" i="94"/>
  <c r="L20" i="94"/>
  <c r="L18" i="94"/>
  <c r="L16" i="94"/>
  <c r="F35" i="94"/>
  <c r="F34" i="94"/>
  <c r="F33" i="94"/>
  <c r="L22" i="94" l="1"/>
  <c r="M16" i="94"/>
  <c r="L15" i="94"/>
  <c r="L13" i="94"/>
  <c r="L12" i="94"/>
  <c r="L11" i="94"/>
  <c r="L10" i="94"/>
  <c r="L9" i="94"/>
  <c r="N16" i="94" l="1"/>
  <c r="F32" i="94"/>
  <c r="M24" i="94" s="1"/>
  <c r="F31" i="94"/>
  <c r="F30" i="94"/>
  <c r="F29" i="94"/>
  <c r="M18" i="94" s="1"/>
  <c r="F28" i="94"/>
  <c r="M21" i="94" s="1"/>
  <c r="F26" i="94"/>
  <c r="F25" i="94"/>
  <c r="F24" i="94"/>
  <c r="F23" i="94"/>
  <c r="F22" i="94"/>
  <c r="F21" i="94"/>
  <c r="F20" i="94"/>
  <c r="F19" i="94"/>
  <c r="F18" i="94"/>
  <c r="F17" i="94"/>
  <c r="F16" i="94"/>
  <c r="F15" i="94"/>
  <c r="F14" i="94"/>
  <c r="F13" i="94"/>
  <c r="F12" i="94"/>
  <c r="F11" i="94"/>
  <c r="F10" i="94"/>
  <c r="F9" i="94"/>
  <c r="F8" i="94"/>
  <c r="F7" i="94"/>
  <c r="F6" i="94"/>
  <c r="M6" i="94" s="1"/>
  <c r="F5" i="94"/>
  <c r="F4" i="94"/>
  <c r="M7" i="94" l="1"/>
  <c r="N7" i="94" s="1"/>
  <c r="M9" i="94"/>
  <c r="M11" i="94"/>
  <c r="N11" i="94" s="1"/>
  <c r="M20" i="94"/>
  <c r="M22" i="94" s="1"/>
  <c r="L17" i="94"/>
  <c r="N21" i="94"/>
  <c r="M26" i="94"/>
  <c r="N24" i="94"/>
  <c r="N18" i="94"/>
  <c r="N6" i="94"/>
  <c r="M8" i="94"/>
  <c r="M10" i="94"/>
  <c r="M12" i="94"/>
  <c r="M14" i="94"/>
  <c r="M5" i="94"/>
  <c r="M13" i="94"/>
  <c r="M15" i="94"/>
  <c r="K25" i="94"/>
  <c r="O25" i="94" s="1"/>
  <c r="K24" i="94"/>
  <c r="O24" i="94" s="1"/>
  <c r="K23" i="94"/>
  <c r="J22" i="94"/>
  <c r="K21" i="94"/>
  <c r="O21" i="94" s="1"/>
  <c r="K20" i="94"/>
  <c r="K19" i="94"/>
  <c r="O19" i="94" s="1"/>
  <c r="K18" i="94"/>
  <c r="O18" i="94" s="1"/>
  <c r="J17" i="94"/>
  <c r="K16" i="94"/>
  <c r="O16" i="94" s="1"/>
  <c r="K14" i="94"/>
  <c r="K13" i="94"/>
  <c r="K12" i="94"/>
  <c r="K11" i="94"/>
  <c r="K10" i="94"/>
  <c r="K9" i="94"/>
  <c r="K8" i="94"/>
  <c r="K7" i="94"/>
  <c r="K6" i="94"/>
  <c r="O6" i="94" s="1"/>
  <c r="K5" i="94"/>
  <c r="O11" i="94" l="1"/>
  <c r="O9" i="94"/>
  <c r="O23" i="94"/>
  <c r="K26" i="94"/>
  <c r="O7" i="94"/>
  <c r="N9" i="94"/>
  <c r="N20" i="94"/>
  <c r="O20" i="94"/>
  <c r="O5" i="94"/>
  <c r="N5" i="94"/>
  <c r="O8" i="94"/>
  <c r="N8" i="94"/>
  <c r="O15" i="94"/>
  <c r="N15" i="94"/>
  <c r="M17" i="94"/>
  <c r="N17" i="94" s="1"/>
  <c r="O26" i="94"/>
  <c r="N26" i="94"/>
  <c r="N22" i="94"/>
  <c r="O14" i="94"/>
  <c r="N14" i="94"/>
  <c r="O12" i="94"/>
  <c r="N12" i="94"/>
  <c r="O13" i="94"/>
  <c r="N13" i="94"/>
  <c r="O10" i="94"/>
  <c r="N10" i="94"/>
  <c r="J4" i="94"/>
  <c r="K22" i="94"/>
  <c r="O22" i="94" s="1"/>
  <c r="M4" i="94" l="1"/>
  <c r="N4" i="94"/>
  <c r="O17" i="94"/>
  <c r="K4" i="94"/>
  <c r="L4" i="94" s="1"/>
  <c r="O4" i="94" l="1"/>
  <c r="H75" i="75"/>
  <c r="H76" i="75"/>
  <c r="H77" i="75"/>
  <c r="H78" i="75"/>
  <c r="H79" i="75"/>
  <c r="H80" i="75"/>
  <c r="H81" i="75"/>
  <c r="H82" i="75"/>
  <c r="H74" i="75"/>
  <c r="H165" i="75"/>
  <c r="H166" i="75"/>
  <c r="H167" i="75"/>
  <c r="H168" i="75"/>
  <c r="H169" i="75"/>
  <c r="H170" i="75"/>
  <c r="H171" i="75"/>
  <c r="H172" i="75"/>
  <c r="H164" i="75"/>
  <c r="H48" i="75"/>
  <c r="H49" i="75"/>
  <c r="H50" i="75"/>
  <c r="H51" i="75"/>
  <c r="H52" i="75"/>
  <c r="H53" i="75"/>
  <c r="H54" i="75"/>
  <c r="H55" i="75"/>
  <c r="H47" i="75"/>
  <c r="H147" i="75" l="1"/>
  <c r="H148" i="75"/>
  <c r="H149" i="75"/>
  <c r="H150" i="75"/>
  <c r="H151" i="75"/>
  <c r="H152" i="75"/>
  <c r="H153" i="75"/>
  <c r="H154" i="75"/>
  <c r="H146" i="75"/>
  <c r="H12" i="75"/>
  <c r="H13" i="75"/>
  <c r="H14" i="75"/>
  <c r="H15" i="75"/>
  <c r="H16" i="75"/>
  <c r="H17" i="75"/>
  <c r="H18" i="75"/>
  <c r="H19" i="75"/>
  <c r="H11" i="75"/>
  <c r="H3" i="75"/>
  <c r="H4" i="75"/>
  <c r="H5" i="75"/>
  <c r="H6" i="75"/>
  <c r="H7" i="75"/>
  <c r="H8" i="75"/>
  <c r="H9" i="75"/>
  <c r="H10" i="75"/>
  <c r="H2" i="75"/>
  <c r="H111" i="75"/>
  <c r="H112" i="75"/>
  <c r="H113" i="75"/>
  <c r="H114" i="75"/>
  <c r="H115" i="75"/>
  <c r="H116" i="75"/>
  <c r="H117" i="75"/>
  <c r="H118" i="75"/>
  <c r="H110" i="75"/>
  <c r="A50" i="20" l="1"/>
  <c r="B50" i="20"/>
  <c r="AT50" i="20"/>
  <c r="AU50" i="20"/>
  <c r="AT61" i="20" l="1"/>
  <c r="C120" i="37" l="1"/>
  <c r="C121" i="37"/>
  <c r="C122" i="37"/>
  <c r="C123" i="37"/>
  <c r="C124" i="37"/>
  <c r="AA28" i="37"/>
  <c r="AE28" i="37" s="1"/>
  <c r="AA29" i="37"/>
  <c r="AA30" i="37"/>
  <c r="AA31" i="37"/>
  <c r="AA32" i="37"/>
  <c r="A46" i="20"/>
  <c r="A47" i="20"/>
  <c r="B46" i="20"/>
  <c r="B47" i="20"/>
  <c r="L1" i="20"/>
  <c r="AT46" i="20"/>
  <c r="AT47" i="20"/>
  <c r="AU46" i="20"/>
  <c r="AU47" i="20"/>
  <c r="A49" i="20"/>
  <c r="B49" i="20"/>
  <c r="AT49" i="20"/>
  <c r="AU49" i="20"/>
  <c r="A48" i="20"/>
  <c r="B48" i="20"/>
  <c r="AT48" i="20"/>
  <c r="AU48" i="20"/>
  <c r="D162" i="75"/>
  <c r="D155" i="75"/>
  <c r="D156" i="75"/>
  <c r="D157" i="75"/>
  <c r="D158" i="75"/>
  <c r="D159" i="75"/>
  <c r="D160" i="75"/>
  <c r="D161" i="75"/>
  <c r="D163" i="75"/>
  <c r="A130" i="20"/>
  <c r="A203" i="20"/>
  <c r="A204" i="20"/>
  <c r="AI204" i="20" s="1"/>
  <c r="A205" i="20"/>
  <c r="A51" i="20"/>
  <c r="A52" i="20"/>
  <c r="A53" i="20"/>
  <c r="A54" i="20"/>
  <c r="A55" i="20"/>
  <c r="A56" i="20"/>
  <c r="A57" i="20"/>
  <c r="A58" i="20"/>
  <c r="A59" i="20"/>
  <c r="A60" i="20"/>
  <c r="A61" i="20"/>
  <c r="A62" i="20"/>
  <c r="A63" i="20"/>
  <c r="A64" i="20"/>
  <c r="A65" i="20"/>
  <c r="AQ65" i="20" s="1"/>
  <c r="A66" i="20"/>
  <c r="A67" i="20"/>
  <c r="A68" i="20"/>
  <c r="A69" i="20"/>
  <c r="A70" i="20"/>
  <c r="A71" i="20"/>
  <c r="A72" i="20"/>
  <c r="A73" i="20"/>
  <c r="AD73" i="20" s="1"/>
  <c r="A74" i="20"/>
  <c r="A75" i="20"/>
  <c r="A76" i="20"/>
  <c r="A77" i="20"/>
  <c r="AI77" i="20" s="1"/>
  <c r="A78" i="20"/>
  <c r="A79" i="20"/>
  <c r="A80" i="20"/>
  <c r="A81" i="20"/>
  <c r="AH81" i="20" s="1"/>
  <c r="A82" i="20"/>
  <c r="A83" i="20"/>
  <c r="A84" i="20"/>
  <c r="A85" i="20"/>
  <c r="A86" i="20"/>
  <c r="A87" i="20"/>
  <c r="A88" i="20"/>
  <c r="A89" i="20"/>
  <c r="AD89" i="20" s="1"/>
  <c r="A90" i="20"/>
  <c r="A91" i="20"/>
  <c r="A92" i="20"/>
  <c r="A93" i="20"/>
  <c r="AK93" i="20" s="1"/>
  <c r="A94" i="20"/>
  <c r="A95" i="20"/>
  <c r="A96" i="20"/>
  <c r="A97" i="20"/>
  <c r="A98" i="20"/>
  <c r="A99" i="20"/>
  <c r="A100" i="20"/>
  <c r="A101" i="20"/>
  <c r="A102" i="20"/>
  <c r="A103" i="20"/>
  <c r="A104" i="20"/>
  <c r="A105" i="20"/>
  <c r="AR105" i="20" s="1"/>
  <c r="A106" i="20"/>
  <c r="A107" i="20"/>
  <c r="A108" i="20"/>
  <c r="A109" i="20"/>
  <c r="AI109" i="20" s="1"/>
  <c r="A110" i="20"/>
  <c r="A111" i="20"/>
  <c r="A112" i="20"/>
  <c r="A113" i="20"/>
  <c r="A114" i="20"/>
  <c r="A115" i="20"/>
  <c r="A116" i="20"/>
  <c r="A117" i="20"/>
  <c r="A118" i="20"/>
  <c r="A119" i="20"/>
  <c r="A120" i="20"/>
  <c r="A121" i="20"/>
  <c r="A122" i="20"/>
  <c r="A123" i="20"/>
  <c r="A124" i="20"/>
  <c r="A125" i="20"/>
  <c r="A126" i="20"/>
  <c r="A127" i="20"/>
  <c r="A128" i="20"/>
  <c r="A129" i="20"/>
  <c r="AQ129" i="20" s="1"/>
  <c r="A131" i="20"/>
  <c r="A132" i="20"/>
  <c r="A133" i="20"/>
  <c r="A134" i="20"/>
  <c r="A135" i="20"/>
  <c r="A136" i="20"/>
  <c r="A137" i="20"/>
  <c r="A138" i="20"/>
  <c r="AN138" i="20" s="1"/>
  <c r="A139" i="20"/>
  <c r="A140" i="20"/>
  <c r="A141" i="20"/>
  <c r="A142" i="20"/>
  <c r="A143" i="20"/>
  <c r="A144" i="20"/>
  <c r="A145" i="20"/>
  <c r="A146" i="20"/>
  <c r="A147" i="20"/>
  <c r="A148" i="20"/>
  <c r="A149" i="20"/>
  <c r="A150" i="20"/>
  <c r="AL150" i="20" s="1"/>
  <c r="A151" i="20"/>
  <c r="A152" i="20"/>
  <c r="A153" i="20"/>
  <c r="A154" i="20"/>
  <c r="A155" i="20"/>
  <c r="A156" i="20"/>
  <c r="A157" i="20"/>
  <c r="A158" i="20"/>
  <c r="AQ158" i="20" s="1"/>
  <c r="A159" i="20"/>
  <c r="A160" i="20"/>
  <c r="A161" i="20"/>
  <c r="A162" i="20"/>
  <c r="A163" i="20"/>
  <c r="A164" i="20"/>
  <c r="A165" i="20"/>
  <c r="A166" i="20"/>
  <c r="A167" i="20"/>
  <c r="A168" i="20"/>
  <c r="A169" i="20"/>
  <c r="A170" i="20"/>
  <c r="A171" i="20"/>
  <c r="A173" i="20"/>
  <c r="A174" i="20"/>
  <c r="A175" i="20"/>
  <c r="AI175" i="20" s="1"/>
  <c r="A176" i="20"/>
  <c r="A177" i="20"/>
  <c r="A178" i="20"/>
  <c r="A179" i="20"/>
  <c r="AK179" i="20" s="1"/>
  <c r="A180" i="20"/>
  <c r="A181" i="20"/>
  <c r="A182" i="20"/>
  <c r="A183" i="20"/>
  <c r="AP183" i="20" s="1"/>
  <c r="A184" i="20"/>
  <c r="A185" i="20"/>
  <c r="A186" i="20"/>
  <c r="A187" i="20"/>
  <c r="A188" i="20"/>
  <c r="A189" i="20"/>
  <c r="A190" i="20"/>
  <c r="A191" i="20"/>
  <c r="A192" i="20"/>
  <c r="A193" i="20"/>
  <c r="A194" i="20"/>
  <c r="A195" i="20"/>
  <c r="A196" i="20"/>
  <c r="A197" i="20"/>
  <c r="A198" i="20"/>
  <c r="A199" i="20"/>
  <c r="AS199" i="20" s="1"/>
  <c r="A200" i="20"/>
  <c r="A201" i="20"/>
  <c r="A202" i="20"/>
  <c r="A206" i="20"/>
  <c r="AK206" i="20" s="1"/>
  <c r="A207" i="20"/>
  <c r="A208" i="20"/>
  <c r="A209" i="20"/>
  <c r="A210" i="20"/>
  <c r="AI210" i="20" s="1"/>
  <c r="A211" i="20"/>
  <c r="A212" i="20"/>
  <c r="A213" i="20"/>
  <c r="A214" i="20"/>
  <c r="A215" i="20"/>
  <c r="A216" i="20"/>
  <c r="A217" i="20"/>
  <c r="A218" i="20"/>
  <c r="A219" i="20"/>
  <c r="A220" i="20"/>
  <c r="A221" i="20"/>
  <c r="A222" i="20"/>
  <c r="AD222" i="20" s="1"/>
  <c r="A223" i="20"/>
  <c r="A224" i="20"/>
  <c r="A225" i="20"/>
  <c r="A226" i="20"/>
  <c r="A227" i="20"/>
  <c r="A228" i="20"/>
  <c r="A229" i="20"/>
  <c r="A230" i="20"/>
  <c r="A231" i="20"/>
  <c r="A232" i="20"/>
  <c r="A233" i="20"/>
  <c r="A234" i="20"/>
  <c r="AQ234" i="20" s="1"/>
  <c r="A235" i="20"/>
  <c r="A236" i="20"/>
  <c r="A237" i="20"/>
  <c r="A238" i="20"/>
  <c r="AD238" i="20" s="1"/>
  <c r="A239" i="20"/>
  <c r="A240" i="20"/>
  <c r="A241" i="20"/>
  <c r="A242" i="20"/>
  <c r="AI242" i="20" s="1"/>
  <c r="A243" i="20"/>
  <c r="A244" i="20"/>
  <c r="A245" i="20"/>
  <c r="A246" i="20"/>
  <c r="A247" i="20"/>
  <c r="A248" i="20"/>
  <c r="A249" i="20"/>
  <c r="A250" i="20"/>
  <c r="A251" i="20"/>
  <c r="A252" i="20"/>
  <c r="A253" i="20"/>
  <c r="A254" i="20"/>
  <c r="A255" i="20"/>
  <c r="A256" i="20"/>
  <c r="A257" i="20"/>
  <c r="A258" i="20"/>
  <c r="AJ258" i="20" s="1"/>
  <c r="A259" i="20"/>
  <c r="A260" i="20"/>
  <c r="A261" i="20"/>
  <c r="A262" i="20"/>
  <c r="AJ262" i="20" s="1"/>
  <c r="A263" i="20"/>
  <c r="A264" i="20"/>
  <c r="A265" i="20"/>
  <c r="A266" i="20"/>
  <c r="AN266" i="20" s="1"/>
  <c r="A267" i="20"/>
  <c r="A268" i="20"/>
  <c r="A269" i="20"/>
  <c r="A270" i="20"/>
  <c r="A271" i="20"/>
  <c r="A272" i="20"/>
  <c r="A273" i="20"/>
  <c r="A274" i="20"/>
  <c r="AJ274" i="20" s="1"/>
  <c r="A275" i="20"/>
  <c r="A276" i="20"/>
  <c r="A277" i="20"/>
  <c r="A278" i="20"/>
  <c r="A279" i="20"/>
  <c r="A280" i="20"/>
  <c r="A281" i="20"/>
  <c r="A282" i="20"/>
  <c r="A283" i="20"/>
  <c r="A284" i="20"/>
  <c r="A285" i="20"/>
  <c r="A286" i="20"/>
  <c r="A287" i="20"/>
  <c r="A288" i="20"/>
  <c r="A289" i="20"/>
  <c r="A290" i="20"/>
  <c r="AR290" i="20" s="1"/>
  <c r="A291" i="20"/>
  <c r="A292" i="20"/>
  <c r="A293" i="20"/>
  <c r="A294" i="20"/>
  <c r="A295" i="20"/>
  <c r="A296" i="20"/>
  <c r="A297" i="20"/>
  <c r="A298" i="20"/>
  <c r="A299" i="20"/>
  <c r="A300" i="20"/>
  <c r="A301" i="20"/>
  <c r="A302" i="20"/>
  <c r="AD302" i="20" s="1"/>
  <c r="A303" i="20"/>
  <c r="A304" i="20"/>
  <c r="A305" i="20"/>
  <c r="A306" i="20"/>
  <c r="AR306" i="20" s="1"/>
  <c r="A307" i="20"/>
  <c r="A308" i="20"/>
  <c r="A309" i="20"/>
  <c r="A310" i="20"/>
  <c r="AR310" i="20" s="1"/>
  <c r="A311" i="20"/>
  <c r="A312" i="20"/>
  <c r="A313" i="20"/>
  <c r="A314" i="20"/>
  <c r="AD314" i="20" s="1"/>
  <c r="A315" i="20"/>
  <c r="A316" i="20"/>
  <c r="A317" i="20"/>
  <c r="A318" i="20"/>
  <c r="A319" i="20"/>
  <c r="A320" i="20"/>
  <c r="A321" i="20"/>
  <c r="A322" i="20"/>
  <c r="AL322" i="20" s="1"/>
  <c r="A323" i="20"/>
  <c r="A324" i="20"/>
  <c r="A325" i="20"/>
  <c r="A326" i="20"/>
  <c r="AN326" i="20" s="1"/>
  <c r="A327" i="20"/>
  <c r="A328" i="20"/>
  <c r="A329" i="20"/>
  <c r="A330" i="20"/>
  <c r="AL330" i="20" s="1"/>
  <c r="A331" i="20"/>
  <c r="A332" i="20"/>
  <c r="A333" i="20"/>
  <c r="A334" i="20"/>
  <c r="AL334" i="20" s="1"/>
  <c r="A335" i="20"/>
  <c r="A336" i="20"/>
  <c r="A337" i="20"/>
  <c r="A338" i="20"/>
  <c r="A339" i="20"/>
  <c r="A340" i="20"/>
  <c r="A341" i="20"/>
  <c r="A342" i="20"/>
  <c r="A343" i="20"/>
  <c r="A344" i="20"/>
  <c r="A345" i="20"/>
  <c r="A346" i="20"/>
  <c r="AP346" i="20" s="1"/>
  <c r="A347" i="20"/>
  <c r="A348" i="20"/>
  <c r="A349" i="20"/>
  <c r="A350" i="20"/>
  <c r="A351" i="20"/>
  <c r="A352" i="20"/>
  <c r="A353" i="20"/>
  <c r="A354" i="20"/>
  <c r="AO354" i="20" s="1"/>
  <c r="A355" i="20"/>
  <c r="A356" i="20"/>
  <c r="A357" i="20"/>
  <c r="A358" i="20"/>
  <c r="AJ358" i="20" s="1"/>
  <c r="A359" i="20"/>
  <c r="A360" i="20"/>
  <c r="A361" i="20"/>
  <c r="A362" i="20"/>
  <c r="A363" i="20"/>
  <c r="A364" i="20"/>
  <c r="A365" i="20"/>
  <c r="A366" i="20"/>
  <c r="A367" i="20"/>
  <c r="A368" i="20"/>
  <c r="A369" i="20"/>
  <c r="A370" i="20"/>
  <c r="AN370" i="20" s="1"/>
  <c r="A371" i="20"/>
  <c r="A372" i="20"/>
  <c r="A373" i="20"/>
  <c r="A374" i="20"/>
  <c r="A375" i="20"/>
  <c r="A376" i="20"/>
  <c r="A377" i="20"/>
  <c r="A378" i="20"/>
  <c r="A379" i="20"/>
  <c r="A380" i="20"/>
  <c r="A381" i="20"/>
  <c r="A382" i="20"/>
  <c r="AN382" i="20" s="1"/>
  <c r="A383" i="20"/>
  <c r="A384" i="20"/>
  <c r="A385" i="20"/>
  <c r="A386" i="20"/>
  <c r="AJ386" i="20" s="1"/>
  <c r="A387" i="20"/>
  <c r="A388" i="20"/>
  <c r="A389" i="20"/>
  <c r="A390" i="20"/>
  <c r="A391" i="20"/>
  <c r="A392" i="20"/>
  <c r="A393" i="20"/>
  <c r="A394" i="20"/>
  <c r="A395" i="20"/>
  <c r="A396" i="20"/>
  <c r="A397" i="20"/>
  <c r="A398" i="20"/>
  <c r="AP398" i="20" s="1"/>
  <c r="A399" i="20"/>
  <c r="A400" i="20"/>
  <c r="A401" i="20"/>
  <c r="A402" i="20"/>
  <c r="AK402" i="20" s="1"/>
  <c r="A403" i="20"/>
  <c r="A404" i="20"/>
  <c r="A405" i="20"/>
  <c r="A406" i="20"/>
  <c r="AQ406" i="20" s="1"/>
  <c r="A407" i="20"/>
  <c r="A408" i="20"/>
  <c r="A409" i="20"/>
  <c r="A410" i="20"/>
  <c r="AM410" i="20" s="1"/>
  <c r="A411" i="20"/>
  <c r="A412" i="20"/>
  <c r="A413" i="20"/>
  <c r="A414" i="20"/>
  <c r="A415" i="20"/>
  <c r="A416" i="20"/>
  <c r="A417" i="20"/>
  <c r="A418" i="20"/>
  <c r="AS418" i="20" s="1"/>
  <c r="A419" i="20"/>
  <c r="A420" i="20"/>
  <c r="A421" i="20"/>
  <c r="A422" i="20"/>
  <c r="AR422" i="20" s="1"/>
  <c r="A423" i="20"/>
  <c r="A424" i="20"/>
  <c r="A425" i="20"/>
  <c r="A426" i="20"/>
  <c r="AN426" i="20" s="1"/>
  <c r="A427" i="20"/>
  <c r="A428" i="20"/>
  <c r="A429" i="20"/>
  <c r="A430" i="20"/>
  <c r="AQ430" i="20" s="1"/>
  <c r="A431" i="20"/>
  <c r="A432" i="20"/>
  <c r="A433" i="20"/>
  <c r="A434" i="20"/>
  <c r="AS434" i="20" s="1"/>
  <c r="A435" i="20"/>
  <c r="A436" i="20"/>
  <c r="A437" i="20"/>
  <c r="A438" i="20"/>
  <c r="A439" i="20"/>
  <c r="A440" i="20"/>
  <c r="A441" i="20"/>
  <c r="A442" i="20"/>
  <c r="A443" i="20"/>
  <c r="A444" i="20"/>
  <c r="A445" i="20"/>
  <c r="A446" i="20"/>
  <c r="AO446" i="20" s="1"/>
  <c r="A447" i="20"/>
  <c r="A448" i="20"/>
  <c r="A449" i="20"/>
  <c r="A450" i="20"/>
  <c r="A451" i="20"/>
  <c r="A452" i="20"/>
  <c r="A453" i="20"/>
  <c r="A454" i="20"/>
  <c r="AM454" i="20" s="1"/>
  <c r="A455" i="20"/>
  <c r="A456" i="20"/>
  <c r="A457" i="20"/>
  <c r="A458" i="20"/>
  <c r="A459" i="20"/>
  <c r="A460" i="20"/>
  <c r="A461" i="20"/>
  <c r="A462" i="20"/>
  <c r="AL462" i="20" s="1"/>
  <c r="A463" i="20"/>
  <c r="A464" i="20"/>
  <c r="A465" i="20"/>
  <c r="A466" i="20"/>
  <c r="A467" i="20"/>
  <c r="A468" i="20"/>
  <c r="A469" i="20"/>
  <c r="A470" i="20"/>
  <c r="A471" i="20"/>
  <c r="A472" i="20"/>
  <c r="A473" i="20"/>
  <c r="A474" i="20"/>
  <c r="A475" i="20"/>
  <c r="A476" i="20"/>
  <c r="A477" i="20"/>
  <c r="A478" i="20"/>
  <c r="A479" i="20"/>
  <c r="A480" i="20"/>
  <c r="A481" i="20"/>
  <c r="A482" i="20"/>
  <c r="AN482" i="20" s="1"/>
  <c r="A483" i="20"/>
  <c r="A484" i="20"/>
  <c r="A485" i="20"/>
  <c r="A486" i="20"/>
  <c r="AM486" i="20" s="1"/>
  <c r="A487" i="20"/>
  <c r="A488" i="20"/>
  <c r="A489" i="20"/>
  <c r="A490" i="20"/>
  <c r="A491" i="20"/>
  <c r="A492" i="20"/>
  <c r="A493" i="20"/>
  <c r="A494" i="20"/>
  <c r="A495" i="20"/>
  <c r="A496" i="20"/>
  <c r="A497" i="20"/>
  <c r="A498" i="20"/>
  <c r="AJ498" i="20" s="1"/>
  <c r="A499" i="20"/>
  <c r="A500" i="20"/>
  <c r="A501" i="20"/>
  <c r="A502" i="20"/>
  <c r="A503" i="20"/>
  <c r="A504" i="20"/>
  <c r="A505" i="20"/>
  <c r="A506" i="20"/>
  <c r="A507" i="20"/>
  <c r="A508" i="20"/>
  <c r="A509" i="20"/>
  <c r="A510" i="20"/>
  <c r="A511" i="20"/>
  <c r="A512" i="20"/>
  <c r="A513" i="20"/>
  <c r="A514" i="20"/>
  <c r="A515" i="20"/>
  <c r="A516" i="20"/>
  <c r="A517" i="20"/>
  <c r="A518" i="20"/>
  <c r="AJ518" i="20" s="1"/>
  <c r="A519" i="20"/>
  <c r="A520" i="20"/>
  <c r="A521" i="20"/>
  <c r="A522" i="20"/>
  <c r="A523" i="20"/>
  <c r="A524" i="20"/>
  <c r="A525" i="20"/>
  <c r="A526" i="20"/>
  <c r="A527" i="20"/>
  <c r="A528" i="20"/>
  <c r="A529" i="20"/>
  <c r="A530" i="20"/>
  <c r="AL530" i="20" s="1"/>
  <c r="A531" i="20"/>
  <c r="A532" i="20"/>
  <c r="A533" i="20"/>
  <c r="A534" i="20"/>
  <c r="AK534" i="20" s="1"/>
  <c r="A535" i="20"/>
  <c r="A536" i="20"/>
  <c r="A537" i="20"/>
  <c r="A538" i="20"/>
  <c r="AP538" i="20" s="1"/>
  <c r="A539" i="20"/>
  <c r="A540" i="20"/>
  <c r="A541" i="20"/>
  <c r="A542" i="20"/>
  <c r="A543" i="20"/>
  <c r="A544" i="20"/>
  <c r="A545" i="20"/>
  <c r="A546" i="20"/>
  <c r="A547" i="20"/>
  <c r="A548" i="20"/>
  <c r="A549" i="20"/>
  <c r="A550" i="20"/>
  <c r="AS550" i="20" s="1"/>
  <c r="A551" i="20"/>
  <c r="A552" i="20"/>
  <c r="A553" i="20"/>
  <c r="A554" i="20"/>
  <c r="AL554" i="20" s="1"/>
  <c r="A555" i="20"/>
  <c r="A556" i="20"/>
  <c r="A557" i="20"/>
  <c r="A558" i="20"/>
  <c r="AM558" i="20" s="1"/>
  <c r="A559" i="20"/>
  <c r="A560" i="20"/>
  <c r="A561" i="20"/>
  <c r="A562" i="20"/>
  <c r="A563" i="20"/>
  <c r="A564" i="20"/>
  <c r="A565" i="20"/>
  <c r="A566" i="20"/>
  <c r="AK566" i="20" s="1"/>
  <c r="A567" i="20"/>
  <c r="A568" i="20"/>
  <c r="A569" i="20"/>
  <c r="A570" i="20"/>
  <c r="A571" i="20"/>
  <c r="A572" i="20"/>
  <c r="A573" i="20"/>
  <c r="B52" i="20"/>
  <c r="AT52" i="20"/>
  <c r="AU52" i="20"/>
  <c r="B54" i="20"/>
  <c r="AT54" i="20"/>
  <c r="AU54" i="20"/>
  <c r="B55" i="20"/>
  <c r="AT55" i="20"/>
  <c r="AU55" i="20"/>
  <c r="B53" i="20"/>
  <c r="AT53" i="20"/>
  <c r="AU53" i="20"/>
  <c r="B56" i="20"/>
  <c r="AT56" i="20"/>
  <c r="AU56" i="20"/>
  <c r="B57" i="20"/>
  <c r="AT57" i="20"/>
  <c r="AU57" i="20"/>
  <c r="B58" i="20"/>
  <c r="AT58" i="20"/>
  <c r="AU58" i="20"/>
  <c r="B51" i="20"/>
  <c r="AT51" i="20"/>
  <c r="AU51" i="20"/>
  <c r="B59" i="20"/>
  <c r="B60" i="20"/>
  <c r="AT59" i="20"/>
  <c r="AT60" i="20"/>
  <c r="AU59" i="20"/>
  <c r="AU60" i="20"/>
  <c r="B62" i="20"/>
  <c r="AT62" i="20"/>
  <c r="AU62" i="20"/>
  <c r="B61" i="20"/>
  <c r="AU61" i="20"/>
  <c r="B70" i="20"/>
  <c r="AT70" i="20"/>
  <c r="AU70" i="20"/>
  <c r="B162" i="20"/>
  <c r="AB28" i="37"/>
  <c r="AB29" i="37"/>
  <c r="B64" i="20"/>
  <c r="B65" i="20"/>
  <c r="AT64" i="20"/>
  <c r="AT65" i="20"/>
  <c r="AU64" i="20"/>
  <c r="AU65" i="20"/>
  <c r="B66" i="20"/>
  <c r="AT66" i="20"/>
  <c r="AU66" i="20"/>
  <c r="B63" i="20"/>
  <c r="B67" i="20"/>
  <c r="AT63" i="20"/>
  <c r="AT67" i="20"/>
  <c r="AU63" i="20"/>
  <c r="AU67" i="20"/>
  <c r="B69" i="20"/>
  <c r="AT69" i="20"/>
  <c r="AU69" i="20"/>
  <c r="B68" i="20"/>
  <c r="AT68" i="20"/>
  <c r="AU68" i="20"/>
  <c r="K77" i="20"/>
  <c r="B77" i="20"/>
  <c r="AT77" i="20"/>
  <c r="AU77" i="20"/>
  <c r="B72" i="20"/>
  <c r="AT72" i="20"/>
  <c r="AU72" i="20"/>
  <c r="B73" i="20"/>
  <c r="AT73" i="20"/>
  <c r="AU73" i="20"/>
  <c r="B71" i="20"/>
  <c r="AT71" i="20"/>
  <c r="AU71" i="20"/>
  <c r="B74" i="20"/>
  <c r="AT74" i="20"/>
  <c r="AU74" i="20"/>
  <c r="B79" i="20"/>
  <c r="AT79" i="20"/>
  <c r="AU79" i="20"/>
  <c r="B75" i="20"/>
  <c r="AT75" i="20"/>
  <c r="AU75" i="20"/>
  <c r="B78" i="20"/>
  <c r="AT78" i="20"/>
  <c r="AU78" i="20"/>
  <c r="B76" i="20"/>
  <c r="AT76" i="20"/>
  <c r="AU76" i="20"/>
  <c r="B80" i="20"/>
  <c r="AT80" i="20"/>
  <c r="AU80" i="20"/>
  <c r="B109" i="20"/>
  <c r="AT109" i="20"/>
  <c r="AU109" i="20"/>
  <c r="B111" i="20"/>
  <c r="AT111" i="20"/>
  <c r="AU111" i="20"/>
  <c r="B108" i="20"/>
  <c r="AT108" i="20"/>
  <c r="AU108" i="20"/>
  <c r="B110" i="20"/>
  <c r="AT110" i="20"/>
  <c r="AU110" i="20"/>
  <c r="B112" i="20"/>
  <c r="AT112" i="20"/>
  <c r="AU112" i="20"/>
  <c r="B94" i="20"/>
  <c r="AT94" i="20"/>
  <c r="AU94" i="20"/>
  <c r="B95" i="20"/>
  <c r="AT95" i="20"/>
  <c r="AU95" i="20"/>
  <c r="A172" i="20"/>
  <c r="B99" i="20"/>
  <c r="AT99" i="20"/>
  <c r="AU99" i="20"/>
  <c r="B97" i="20"/>
  <c r="AT97" i="20"/>
  <c r="AU97" i="20"/>
  <c r="B98" i="20"/>
  <c r="AT98" i="20"/>
  <c r="AU98" i="20"/>
  <c r="B92" i="20"/>
  <c r="AT92" i="20"/>
  <c r="AU92" i="20"/>
  <c r="B88" i="20"/>
  <c r="AT88" i="20"/>
  <c r="AU88" i="20"/>
  <c r="B87" i="20"/>
  <c r="AT87" i="20"/>
  <c r="AU87" i="20"/>
  <c r="B86" i="20"/>
  <c r="AT86" i="20"/>
  <c r="AU86" i="20"/>
  <c r="B81" i="20"/>
  <c r="AT81" i="20"/>
  <c r="AU81" i="20"/>
  <c r="B82" i="20"/>
  <c r="AT82" i="20"/>
  <c r="AU82" i="20"/>
  <c r="B84" i="20"/>
  <c r="AT84" i="20"/>
  <c r="AU84" i="20"/>
  <c r="B85" i="20"/>
  <c r="AT85" i="20"/>
  <c r="AU85" i="20"/>
  <c r="B83" i="20"/>
  <c r="AT83" i="20"/>
  <c r="AU83" i="20"/>
  <c r="B90" i="20"/>
  <c r="AT90" i="20"/>
  <c r="AU90" i="20"/>
  <c r="B91" i="20"/>
  <c r="AT91" i="20"/>
  <c r="AU91" i="20"/>
  <c r="B89" i="20"/>
  <c r="AT89" i="20"/>
  <c r="AU89" i="20"/>
  <c r="B105" i="20"/>
  <c r="AT105" i="20"/>
  <c r="AU105" i="20"/>
  <c r="B106" i="20"/>
  <c r="AT106" i="20"/>
  <c r="AU106" i="20"/>
  <c r="B107" i="20"/>
  <c r="AT107" i="20"/>
  <c r="AU107" i="20"/>
  <c r="B118" i="20"/>
  <c r="AT118" i="20"/>
  <c r="AU118" i="20"/>
  <c r="B119" i="20"/>
  <c r="AT119" i="20"/>
  <c r="AU119" i="20"/>
  <c r="D100" i="74"/>
  <c r="D101" i="74"/>
  <c r="D102" i="74"/>
  <c r="D103" i="74"/>
  <c r="H100" i="74"/>
  <c r="H101" i="74"/>
  <c r="H102" i="74"/>
  <c r="H103" i="74"/>
  <c r="D104" i="74"/>
  <c r="D105" i="74"/>
  <c r="D106" i="74"/>
  <c r="D107" i="74"/>
  <c r="H104" i="74"/>
  <c r="H105" i="74"/>
  <c r="H106" i="74"/>
  <c r="H107" i="74"/>
  <c r="D108" i="74"/>
  <c r="D109" i="74"/>
  <c r="H108" i="74"/>
  <c r="H109" i="74"/>
  <c r="D110" i="74"/>
  <c r="H110" i="74"/>
  <c r="D111" i="74"/>
  <c r="H111"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76" i="74"/>
  <c r="H77" i="74"/>
  <c r="H78" i="74"/>
  <c r="H79" i="74"/>
  <c r="H80" i="74"/>
  <c r="H81" i="74"/>
  <c r="H82" i="74"/>
  <c r="H83" i="74"/>
  <c r="H84" i="74"/>
  <c r="H85" i="74"/>
  <c r="H86" i="74"/>
  <c r="H87" i="74"/>
  <c r="H88" i="74"/>
  <c r="H89" i="74"/>
  <c r="H90" i="74"/>
  <c r="H91" i="74"/>
  <c r="H92" i="74"/>
  <c r="H93" i="74"/>
  <c r="H94" i="74"/>
  <c r="H95" i="74"/>
  <c r="H96" i="74"/>
  <c r="H97" i="74"/>
  <c r="H98" i="74"/>
  <c r="H99"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60" i="14" s="1"/>
  <c r="Y39" i="19"/>
  <c r="Z39" i="19"/>
  <c r="W40" i="19"/>
  <c r="U40" i="19" s="1"/>
  <c r="X40" i="19"/>
  <c r="AJ61" i="14" s="1"/>
  <c r="Y40" i="19"/>
  <c r="Z40" i="19"/>
  <c r="A3" i="91"/>
  <c r="B3" i="37"/>
  <c r="B150" i="20"/>
  <c r="AT150" i="20"/>
  <c r="AU150" i="20"/>
  <c r="K143" i="20"/>
  <c r="K144" i="20"/>
  <c r="K142" i="20"/>
  <c r="K131" i="20"/>
  <c r="K128" i="20"/>
  <c r="K129" i="20"/>
  <c r="K126" i="20"/>
  <c r="K127" i="20"/>
  <c r="K125" i="20"/>
  <c r="K123" i="20"/>
  <c r="K124" i="20"/>
  <c r="K120" i="20"/>
  <c r="K117" i="20"/>
  <c r="K116" i="20"/>
  <c r="K102" i="20"/>
  <c r="K100" i="20"/>
  <c r="K101" i="20"/>
  <c r="K93" i="20"/>
  <c r="H23" i="36"/>
  <c r="C22" i="36"/>
  <c r="K22" i="36" s="1"/>
  <c r="B22" i="36"/>
  <c r="F22" i="36"/>
  <c r="D22" i="36"/>
  <c r="D21" i="36"/>
  <c r="D17" i="36"/>
  <c r="E30" i="45"/>
  <c r="F19" i="36"/>
  <c r="W92" i="19"/>
  <c r="X92" i="19"/>
  <c r="AJ36" i="14" s="1"/>
  <c r="Y92" i="19"/>
  <c r="Z92" i="19"/>
  <c r="W8" i="19"/>
  <c r="U8" i="19" s="1"/>
  <c r="X8" i="19"/>
  <c r="Y8" i="19"/>
  <c r="Z8" i="19"/>
  <c r="W7" i="19"/>
  <c r="U7" i="19" s="1"/>
  <c r="X7" i="19"/>
  <c r="AJ27" i="14" s="1"/>
  <c r="Y7" i="19"/>
  <c r="Z7"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B6" i="36"/>
  <c r="AA132" i="14"/>
  <c r="AI132" i="14"/>
  <c r="AJ132" i="14"/>
  <c r="B16" i="36"/>
  <c r="B18" i="36"/>
  <c r="B17" i="36"/>
  <c r="J17" i="36" s="1"/>
  <c r="B21" i="36"/>
  <c r="B8" i="36"/>
  <c r="T13" i="19"/>
  <c r="T90" i="19"/>
  <c r="W89" i="19"/>
  <c r="U89" i="19" s="1"/>
  <c r="X89" i="19"/>
  <c r="Y89" i="19"/>
  <c r="Z89" i="19"/>
  <c r="W90" i="19"/>
  <c r="U90" i="19" s="1"/>
  <c r="X90" i="19"/>
  <c r="Y90" i="19"/>
  <c r="Z90" i="19"/>
  <c r="T84" i="19"/>
  <c r="T68" i="19"/>
  <c r="W26" i="19"/>
  <c r="U26" i="19" s="1"/>
  <c r="X26" i="19"/>
  <c r="AJ44" i="14" s="1"/>
  <c r="Y26" i="19"/>
  <c r="Z26" i="19"/>
  <c r="Q95" i="19"/>
  <c r="R95" i="19"/>
  <c r="J95" i="19"/>
  <c r="K95" i="19"/>
  <c r="L95" i="19"/>
  <c r="M95" i="19"/>
  <c r="A3" i="19"/>
  <c r="B104" i="20"/>
  <c r="AT104" i="20"/>
  <c r="AU104" i="20"/>
  <c r="B93" i="20"/>
  <c r="B96" i="20"/>
  <c r="AT93" i="20"/>
  <c r="AT96" i="20"/>
  <c r="AU93" i="20"/>
  <c r="AU96" i="20"/>
  <c r="B100" i="20"/>
  <c r="B101" i="20"/>
  <c r="B102" i="20"/>
  <c r="AT100" i="20"/>
  <c r="AT101" i="20"/>
  <c r="AT102" i="20"/>
  <c r="AU100" i="20"/>
  <c r="AU101" i="20"/>
  <c r="AU102" i="20"/>
  <c r="B103" i="20"/>
  <c r="AT103" i="20"/>
  <c r="AU103" i="20"/>
  <c r="AI31" i="14"/>
  <c r="B115" i="20"/>
  <c r="AT115" i="20"/>
  <c r="AU115" i="20"/>
  <c r="B114" i="20"/>
  <c r="B113" i="20"/>
  <c r="AT114" i="20"/>
  <c r="AT113" i="20"/>
  <c r="AU114" i="20"/>
  <c r="AU113" i="20"/>
  <c r="B116" i="20"/>
  <c r="AT116" i="20"/>
  <c r="AU116" i="20"/>
  <c r="B117" i="20"/>
  <c r="B120" i="20"/>
  <c r="AT117" i="20"/>
  <c r="AT120" i="20"/>
  <c r="AU117" i="20"/>
  <c r="AU120" i="20"/>
  <c r="B122" i="20"/>
  <c r="AT122" i="20"/>
  <c r="AU122" i="20"/>
  <c r="B121" i="20"/>
  <c r="AT121" i="20"/>
  <c r="AU121" i="20"/>
  <c r="B127" i="20"/>
  <c r="AT127" i="20"/>
  <c r="AU127" i="20"/>
  <c r="B129" i="20"/>
  <c r="AT129" i="20"/>
  <c r="AU129" i="20"/>
  <c r="B128" i="20"/>
  <c r="AT128" i="20"/>
  <c r="AU128" i="20"/>
  <c r="B123" i="20"/>
  <c r="AT123" i="20"/>
  <c r="AU123" i="20"/>
  <c r="B125" i="20"/>
  <c r="AT125" i="20"/>
  <c r="AU125" i="20"/>
  <c r="B124" i="20"/>
  <c r="AT124" i="20"/>
  <c r="AU124" i="20"/>
  <c r="B130" i="20"/>
  <c r="AT130" i="20"/>
  <c r="AU130" i="20"/>
  <c r="B126" i="20"/>
  <c r="AT126" i="20"/>
  <c r="AU126" i="20"/>
  <c r="B134" i="20"/>
  <c r="AT134" i="20"/>
  <c r="AU134" i="20"/>
  <c r="B133" i="20"/>
  <c r="AT133" i="20"/>
  <c r="AU133" i="20"/>
  <c r="B131" i="20"/>
  <c r="B132" i="20"/>
  <c r="AT131" i="20"/>
  <c r="AT132" i="20"/>
  <c r="AU131" i="20"/>
  <c r="AU132" i="20"/>
  <c r="B135" i="20"/>
  <c r="B136" i="20"/>
  <c r="B137" i="20"/>
  <c r="AT135" i="20"/>
  <c r="AT136" i="20"/>
  <c r="AT137" i="20"/>
  <c r="AU135" i="20"/>
  <c r="AU136" i="20"/>
  <c r="AU137" i="20"/>
  <c r="B139" i="20"/>
  <c r="AT139" i="20"/>
  <c r="AU139" i="20"/>
  <c r="B138" i="20"/>
  <c r="AT138" i="20"/>
  <c r="AU138" i="20"/>
  <c r="T95" i="19"/>
  <c r="D7" i="36"/>
  <c r="B141" i="20"/>
  <c r="B140" i="20"/>
  <c r="AT140" i="20"/>
  <c r="AU140" i="20"/>
  <c r="B142" i="20"/>
  <c r="AT142" i="20"/>
  <c r="AU142" i="20"/>
  <c r="B143" i="20"/>
  <c r="AT143" i="20"/>
  <c r="AU143" i="20"/>
  <c r="B155" i="20"/>
  <c r="B151" i="20"/>
  <c r="B145" i="20"/>
  <c r="B146" i="20"/>
  <c r="B147" i="20"/>
  <c r="B164" i="20"/>
  <c r="B144" i="20"/>
  <c r="AT144" i="20"/>
  <c r="AT145" i="20"/>
  <c r="AU144" i="20"/>
  <c r="AU145" i="20"/>
  <c r="AT147" i="20"/>
  <c r="AU147" i="20"/>
  <c r="AT146" i="20"/>
  <c r="AU146" i="20"/>
  <c r="AT141" i="20"/>
  <c r="AU141" i="20"/>
  <c r="B148" i="20"/>
  <c r="B149" i="20"/>
  <c r="AT148" i="20"/>
  <c r="AT149" i="20"/>
  <c r="AU148" i="20"/>
  <c r="AU149" i="20"/>
  <c r="AT151" i="20"/>
  <c r="AU151" i="20"/>
  <c r="B158" i="20"/>
  <c r="AT158" i="20"/>
  <c r="AU158" i="20"/>
  <c r="B161" i="20"/>
  <c r="AT161" i="20"/>
  <c r="AU161" i="20"/>
  <c r="B156" i="20"/>
  <c r="AT156" i="20"/>
  <c r="AU156" i="20"/>
  <c r="B157" i="20"/>
  <c r="AT157" i="20"/>
  <c r="AU157" i="20"/>
  <c r="B152" i="20"/>
  <c r="AT152" i="20"/>
  <c r="AU152" i="20"/>
  <c r="B153" i="20"/>
  <c r="AT153" i="20"/>
  <c r="AU153" i="20"/>
  <c r="B154" i="20"/>
  <c r="B159" i="20"/>
  <c r="AT154" i="20"/>
  <c r="AT159" i="20"/>
  <c r="AU154" i="20"/>
  <c r="AU159" i="20"/>
  <c r="B160" i="20"/>
  <c r="AT160" i="20"/>
  <c r="AU160" i="20"/>
  <c r="AT155" i="20"/>
  <c r="AU155" i="20"/>
  <c r="AT162" i="20"/>
  <c r="AU162" i="20"/>
  <c r="AT167" i="20"/>
  <c r="AU167" i="20"/>
  <c r="AT171" i="20"/>
  <c r="AU171" i="20"/>
  <c r="B163" i="20"/>
  <c r="AT163" i="20"/>
  <c r="AT164" i="20"/>
  <c r="AU163" i="20"/>
  <c r="AU164" i="20"/>
  <c r="AT165" i="20"/>
  <c r="AU165" i="20"/>
  <c r="AT166" i="20"/>
  <c r="AU166" i="20"/>
  <c r="AU172" i="20"/>
  <c r="AT172" i="20"/>
  <c r="AT173" i="20"/>
  <c r="AT170" i="20"/>
  <c r="AU170" i="20"/>
  <c r="AT169" i="20"/>
  <c r="AU169" i="20"/>
  <c r="B173" i="20"/>
  <c r="AU173" i="20"/>
  <c r="AT168" i="20"/>
  <c r="AU168" i="20"/>
  <c r="B174" i="20"/>
  <c r="AT174" i="20"/>
  <c r="AU174" i="20"/>
  <c r="B175" i="20"/>
  <c r="AT175" i="20"/>
  <c r="AU175" i="20"/>
  <c r="B176" i="20"/>
  <c r="AT176" i="20"/>
  <c r="AU176" i="20"/>
  <c r="D127" i="75"/>
  <c r="D109" i="75"/>
  <c r="D37" i="75"/>
  <c r="D28" i="75"/>
  <c r="D73" i="75"/>
  <c r="D136" i="75"/>
  <c r="D46" i="75"/>
  <c r="D100" i="75"/>
  <c r="D154" i="75"/>
  <c r="D172" i="75"/>
  <c r="D82" i="75"/>
  <c r="D91" i="75"/>
  <c r="D55" i="75"/>
  <c r="D19" i="75"/>
  <c r="D10" i="75"/>
  <c r="D118"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2" i="74"/>
  <c r="D53" i="74"/>
  <c r="D54" i="74"/>
  <c r="D55" i="74"/>
  <c r="D56" i="74"/>
  <c r="D57" i="74"/>
  <c r="D58" i="74"/>
  <c r="D59" i="74"/>
  <c r="D60" i="74"/>
  <c r="D61" i="74"/>
  <c r="D62" i="74"/>
  <c r="D63" i="74"/>
  <c r="D76" i="74"/>
  <c r="D77" i="74"/>
  <c r="D78" i="74"/>
  <c r="D79" i="74"/>
  <c r="D80" i="74"/>
  <c r="D81" i="74"/>
  <c r="D82" i="74"/>
  <c r="D83" i="74"/>
  <c r="D84" i="74"/>
  <c r="D85" i="74"/>
  <c r="D86" i="74"/>
  <c r="D87" i="74"/>
  <c r="D88" i="74"/>
  <c r="D89" i="74"/>
  <c r="D90" i="74"/>
  <c r="D91" i="74"/>
  <c r="D92" i="74"/>
  <c r="D93" i="74"/>
  <c r="D94" i="74"/>
  <c r="D95" i="74"/>
  <c r="D96" i="74"/>
  <c r="D97" i="74"/>
  <c r="D98" i="74"/>
  <c r="D99"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AO21" i="40"/>
  <c r="K17" i="40" s="1"/>
  <c r="Z3" i="72" s="1"/>
  <c r="B5" i="86"/>
  <c r="AA128" i="14"/>
  <c r="AA129" i="14"/>
  <c r="AA130" i="14"/>
  <c r="AA131" i="14"/>
  <c r="AI128" i="14"/>
  <c r="AI129" i="14"/>
  <c r="AI130" i="14"/>
  <c r="AI131" i="14"/>
  <c r="AJ128" i="14"/>
  <c r="AJ129" i="14"/>
  <c r="AJ130" i="14"/>
  <c r="AJ131" i="14"/>
  <c r="AA127" i="14"/>
  <c r="AI127" i="14"/>
  <c r="AJ127" i="14"/>
  <c r="AA116" i="14"/>
  <c r="AA117" i="14"/>
  <c r="AA118" i="14"/>
  <c r="AA119" i="14"/>
  <c r="AA120" i="14"/>
  <c r="AA121" i="14"/>
  <c r="AA122" i="14"/>
  <c r="AA123" i="14"/>
  <c r="AA124" i="14"/>
  <c r="AA125" i="14"/>
  <c r="AA126" i="14"/>
  <c r="AI116" i="14"/>
  <c r="AI117" i="14"/>
  <c r="AI118" i="14"/>
  <c r="AI119" i="14"/>
  <c r="AI120" i="14"/>
  <c r="AI121" i="14"/>
  <c r="AI122" i="14"/>
  <c r="AI123" i="14"/>
  <c r="AI124" i="14"/>
  <c r="AI125" i="14"/>
  <c r="AI126" i="14"/>
  <c r="AJ116" i="14"/>
  <c r="AJ117" i="14"/>
  <c r="AJ118" i="14"/>
  <c r="AJ119" i="14"/>
  <c r="AJ120" i="14"/>
  <c r="AJ121" i="14"/>
  <c r="AJ122" i="14"/>
  <c r="AJ123" i="14"/>
  <c r="AJ124" i="14"/>
  <c r="AJ125" i="14"/>
  <c r="AJ126" i="14"/>
  <c r="AA112" i="14"/>
  <c r="AA113" i="14"/>
  <c r="AA114" i="14"/>
  <c r="AA115" i="14"/>
  <c r="AI112" i="14"/>
  <c r="AI113" i="14"/>
  <c r="AI114" i="14"/>
  <c r="AI115" i="14"/>
  <c r="AJ112" i="14"/>
  <c r="AJ113" i="14"/>
  <c r="AJ114" i="14"/>
  <c r="AJ115" i="14"/>
  <c r="A3" i="88"/>
  <c r="B3" i="89"/>
  <c r="B178" i="20"/>
  <c r="AT178" i="20"/>
  <c r="AU178" i="20"/>
  <c r="AT179" i="20"/>
  <c r="AU179" i="20"/>
  <c r="AB30" i="37"/>
  <c r="AB31" i="37"/>
  <c r="AB32" i="37"/>
  <c r="B177" i="20"/>
  <c r="AT177" i="20"/>
  <c r="AU177" i="20"/>
  <c r="AA13" i="14"/>
  <c r="AA16" i="14"/>
  <c r="AA25" i="14"/>
  <c r="AA18" i="14"/>
  <c r="AA30" i="14"/>
  <c r="AA33" i="14"/>
  <c r="AA7" i="14"/>
  <c r="A3" i="30"/>
  <c r="B9" i="86"/>
  <c r="C5" i="35"/>
  <c r="AI18" i="14"/>
  <c r="AI16"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K19" i="40" s="1"/>
  <c r="Z6" i="72" s="1"/>
  <c r="AO25" i="40"/>
  <c r="AO31" i="40"/>
  <c r="AO33" i="40"/>
  <c r="K22" i="40" s="1"/>
  <c r="Z10" i="72"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AT181" i="20"/>
  <c r="AU181" i="20"/>
  <c r="AT184" i="20"/>
  <c r="AU184" i="20"/>
  <c r="AT180" i="20"/>
  <c r="AU180" i="20"/>
  <c r="AT183" i="20"/>
  <c r="AU183" i="20"/>
  <c r="AT182" i="20"/>
  <c r="AU182" i="20"/>
  <c r="AT201" i="20"/>
  <c r="AT200" i="20"/>
  <c r="AU200" i="20"/>
  <c r="AU201" i="20"/>
  <c r="AT194" i="20"/>
  <c r="AU194" i="20"/>
  <c r="AT190" i="20"/>
  <c r="AU190" i="20"/>
  <c r="AT189" i="20"/>
  <c r="AU189" i="20"/>
  <c r="A3" i="36"/>
  <c r="B3" i="62"/>
  <c r="A3" i="20"/>
  <c r="S95" i="19"/>
  <c r="A3" i="67"/>
  <c r="AT239" i="20"/>
  <c r="AT186" i="20"/>
  <c r="AT188" i="20"/>
  <c r="AT185" i="20"/>
  <c r="AT187" i="20"/>
  <c r="AT213" i="20"/>
  <c r="AU239" i="20"/>
  <c r="AU186" i="20"/>
  <c r="AU188" i="20"/>
  <c r="AU185" i="20"/>
  <c r="AU187" i="20"/>
  <c r="AU213" i="20"/>
  <c r="B192" i="20"/>
  <c r="AT192" i="20"/>
  <c r="AU192" i="20"/>
  <c r="AJ77" i="14"/>
  <c r="AJ78" i="14"/>
  <c r="AJ79" i="14"/>
  <c r="AJ80" i="14"/>
  <c r="AJ81" i="14"/>
  <c r="AJ82" i="14"/>
  <c r="AJ83" i="14"/>
  <c r="AJ84" i="14"/>
  <c r="AJ85" i="14"/>
  <c r="AJ86" i="14"/>
  <c r="AJ87" i="14"/>
  <c r="AJ88" i="14"/>
  <c r="AJ89" i="14"/>
  <c r="AJ90" i="14"/>
  <c r="AJ91" i="14"/>
  <c r="AJ92" i="14"/>
  <c r="AJ93" i="14"/>
  <c r="AJ73" i="14"/>
  <c r="AJ41" i="14"/>
  <c r="AJ63" i="14"/>
  <c r="AJ69" i="14"/>
  <c r="AJ94" i="14"/>
  <c r="AJ95" i="14"/>
  <c r="AJ96" i="14"/>
  <c r="AJ97" i="14"/>
  <c r="AJ98" i="14"/>
  <c r="AJ99" i="14"/>
  <c r="AJ100" i="14"/>
  <c r="AJ101" i="14"/>
  <c r="AJ102" i="14"/>
  <c r="AJ103" i="14"/>
  <c r="AJ104" i="14"/>
  <c r="AJ105" i="14"/>
  <c r="AJ7" i="14"/>
  <c r="AJ70" i="14"/>
  <c r="AJ71" i="14"/>
  <c r="AJ72" i="14"/>
  <c r="AJ74" i="14"/>
  <c r="AJ76" i="14"/>
  <c r="AJ106" i="14"/>
  <c r="AJ107" i="14"/>
  <c r="AJ108" i="14"/>
  <c r="AJ109" i="14"/>
  <c r="AJ110" i="14"/>
  <c r="AJ75" i="14"/>
  <c r="AJ12" i="14"/>
  <c r="AJ111" i="14"/>
  <c r="AJ29" i="14"/>
  <c r="X25" i="19"/>
  <c r="AJ43" i="14" s="1"/>
  <c r="X27" i="19"/>
  <c r="AJ42" i="14" s="1"/>
  <c r="X28" i="19"/>
  <c r="AJ47" i="14" s="1"/>
  <c r="X29" i="19"/>
  <c r="AJ49" i="14" s="1"/>
  <c r="X30" i="19"/>
  <c r="X31" i="19"/>
  <c r="AJ53" i="14" s="1"/>
  <c r="X32" i="19"/>
  <c r="X33" i="19"/>
  <c r="AJ55" i="14" s="1"/>
  <c r="X20" i="19"/>
  <c r="X34" i="19"/>
  <c r="AJ51" i="14" s="1"/>
  <c r="X35" i="19"/>
  <c r="AJ56" i="14" s="1"/>
  <c r="X36" i="19"/>
  <c r="AJ57" i="14" s="1"/>
  <c r="X37" i="19"/>
  <c r="AJ58" i="14" s="1"/>
  <c r="X21" i="19"/>
  <c r="AJ34" i="14" s="1"/>
  <c r="X22" i="19"/>
  <c r="AJ35" i="14" s="1"/>
  <c r="X38" i="19"/>
  <c r="AJ59" i="14" s="1"/>
  <c r="X23" i="19"/>
  <c r="AJ40" i="14" s="1"/>
  <c r="X10" i="19"/>
  <c r="AJ22" i="14"/>
  <c r="X24" i="19"/>
  <c r="AJ39" i="14" s="1"/>
  <c r="X41" i="19"/>
  <c r="AJ45" i="14" s="1"/>
  <c r="X42" i="19"/>
  <c r="AJ46" i="14" s="1"/>
  <c r="X43" i="19"/>
  <c r="AJ48" i="14" s="1"/>
  <c r="X44" i="19"/>
  <c r="AJ50"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7" i="14" s="1"/>
  <c r="X51" i="19"/>
  <c r="X52" i="19"/>
  <c r="X70" i="19"/>
  <c r="X16" i="19"/>
  <c r="AJ13" i="14" s="1"/>
  <c r="X18" i="19"/>
  <c r="AJ19" i="14" s="1"/>
  <c r="X71" i="19"/>
  <c r="X72" i="19"/>
  <c r="X73" i="19"/>
  <c r="X74" i="19"/>
  <c r="X75" i="19"/>
  <c r="X76" i="19"/>
  <c r="X77" i="19"/>
  <c r="X17" i="19"/>
  <c r="AJ31" i="14" s="1"/>
  <c r="X53" i="19"/>
  <c r="AJ65" i="14"/>
  <c r="X78" i="19"/>
  <c r="X79" i="19"/>
  <c r="X80" i="19"/>
  <c r="X81" i="19"/>
  <c r="X82" i="19"/>
  <c r="X83" i="19"/>
  <c r="X91" i="19"/>
  <c r="AJ32" i="14" s="1"/>
  <c r="X84" i="19"/>
  <c r="AJ25" i="14" s="1"/>
  <c r="X85" i="19"/>
  <c r="AJ26" i="14" s="1"/>
  <c r="X86" i="19"/>
  <c r="X87" i="19"/>
  <c r="X54" i="19"/>
  <c r="X55" i="19"/>
  <c r="X93" i="19"/>
  <c r="AJ37" i="14" s="1"/>
  <c r="X94" i="19"/>
  <c r="AJ38" i="14" s="1"/>
  <c r="X88" i="19"/>
  <c r="X19" i="19"/>
  <c r="AJ33" i="14" s="1"/>
  <c r="Z19" i="19"/>
  <c r="Y19" i="19"/>
  <c r="AJ66" i="14"/>
  <c r="AJ62" i="14"/>
  <c r="AJ9" i="14"/>
  <c r="AJ67" i="14"/>
  <c r="AJ64" i="14"/>
  <c r="AJ68" i="14"/>
  <c r="B193" i="20"/>
  <c r="AT193" i="20"/>
  <c r="AU193" i="20"/>
  <c r="B191" i="20"/>
  <c r="AT191" i="20"/>
  <c r="AU191" i="20"/>
  <c r="I95" i="19"/>
  <c r="H95" i="19"/>
  <c r="W19" i="19"/>
  <c r="U19" i="19" s="1"/>
  <c r="W47" i="19"/>
  <c r="U47" i="19" s="1"/>
  <c r="Y47" i="19"/>
  <c r="Z47" i="19"/>
  <c r="AT230" i="20"/>
  <c r="AU230" i="20"/>
  <c r="AT241" i="20"/>
  <c r="AU241" i="20"/>
  <c r="AT240" i="20"/>
  <c r="AU240" i="20"/>
  <c r="AU197" i="20"/>
  <c r="AT197" i="20"/>
  <c r="B197" i="20"/>
  <c r="AU196" i="20"/>
  <c r="AT196" i="20"/>
  <c r="B196" i="20"/>
  <c r="AU195" i="20"/>
  <c r="AT195" i="20"/>
  <c r="B195" i="20"/>
  <c r="AU198" i="20"/>
  <c r="AT198" i="20"/>
  <c r="B198" i="20"/>
  <c r="AU199" i="20"/>
  <c r="AT199" i="20"/>
  <c r="B199" i="20"/>
  <c r="AU202" i="20"/>
  <c r="AT202" i="20"/>
  <c r="B202" i="20"/>
  <c r="AU204" i="20"/>
  <c r="AT204" i="20"/>
  <c r="B204" i="20"/>
  <c r="AU210" i="20"/>
  <c r="AT210" i="20"/>
  <c r="B210" i="20"/>
  <c r="AU206" i="20"/>
  <c r="AT206" i="20"/>
  <c r="B206" i="20"/>
  <c r="AU205" i="20"/>
  <c r="AT205" i="20"/>
  <c r="B205" i="20"/>
  <c r="AU209" i="20"/>
  <c r="AT209" i="20"/>
  <c r="B209" i="20"/>
  <c r="AU208" i="20"/>
  <c r="AT208" i="20"/>
  <c r="B208" i="20"/>
  <c r="AU207" i="20"/>
  <c r="AT207" i="20"/>
  <c r="B207" i="20"/>
  <c r="AU203" i="20"/>
  <c r="AT203" i="20"/>
  <c r="B203" i="20"/>
  <c r="AU217" i="20"/>
  <c r="AT217" i="20"/>
  <c r="B217" i="20"/>
  <c r="AU216" i="20"/>
  <c r="AT216" i="20"/>
  <c r="B216" i="20"/>
  <c r="AU215" i="20"/>
  <c r="AT215" i="20"/>
  <c r="B215" i="20"/>
  <c r="AU214" i="20"/>
  <c r="AT214" i="20"/>
  <c r="B214" i="20"/>
  <c r="AU220" i="20"/>
  <c r="AT220" i="20"/>
  <c r="B220" i="20"/>
  <c r="AU219" i="20"/>
  <c r="AT219" i="20"/>
  <c r="B219" i="20"/>
  <c r="AU218" i="20"/>
  <c r="AT218" i="20"/>
  <c r="B218" i="20"/>
  <c r="AU224" i="20"/>
  <c r="AT224" i="20"/>
  <c r="B224" i="20"/>
  <c r="AU221" i="20"/>
  <c r="AT221" i="20"/>
  <c r="B221" i="20"/>
  <c r="AU223" i="20"/>
  <c r="AT223" i="20"/>
  <c r="B223" i="20"/>
  <c r="AU228" i="20"/>
  <c r="AT228" i="20"/>
  <c r="B228" i="20"/>
  <c r="AU227" i="20"/>
  <c r="AT227" i="20"/>
  <c r="B227" i="20"/>
  <c r="AU222" i="20"/>
  <c r="AT222" i="20"/>
  <c r="B222" i="20"/>
  <c r="AU226" i="20"/>
  <c r="AT226" i="20"/>
  <c r="B226" i="20"/>
  <c r="AU229" i="20"/>
  <c r="AT229" i="20"/>
  <c r="B229" i="20"/>
  <c r="AU233" i="20"/>
  <c r="AT233" i="20"/>
  <c r="B233" i="20"/>
  <c r="AU237" i="20"/>
  <c r="AT237" i="20"/>
  <c r="AU232" i="20"/>
  <c r="AT232" i="20"/>
  <c r="B232" i="20"/>
  <c r="AU235" i="20"/>
  <c r="AT235" i="20"/>
  <c r="B235" i="20"/>
  <c r="AU243" i="20"/>
  <c r="AT243" i="20"/>
  <c r="B243" i="20"/>
  <c r="AU231" i="20"/>
  <c r="AT231" i="20"/>
  <c r="B231" i="20"/>
  <c r="AU234" i="20"/>
  <c r="AT234" i="20"/>
  <c r="B234" i="20"/>
  <c r="AU242" i="20"/>
  <c r="AT242" i="20"/>
  <c r="B242" i="20"/>
  <c r="AU236" i="20"/>
  <c r="AT236" i="20"/>
  <c r="B236" i="20"/>
  <c r="AU266" i="20"/>
  <c r="AT266" i="20"/>
  <c r="B266" i="20"/>
  <c r="AU265" i="20"/>
  <c r="AT265" i="20"/>
  <c r="B265" i="20"/>
  <c r="AU264" i="20"/>
  <c r="AT264" i="20"/>
  <c r="B264" i="20"/>
  <c r="AU263" i="20"/>
  <c r="AT263" i="20"/>
  <c r="B263" i="20"/>
  <c r="AU262" i="20"/>
  <c r="AT262" i="20"/>
  <c r="B262" i="20"/>
  <c r="AU261" i="20"/>
  <c r="AT261" i="20"/>
  <c r="B261" i="20"/>
  <c r="AU260" i="20"/>
  <c r="AT260" i="20"/>
  <c r="B260" i="20"/>
  <c r="AU259" i="20"/>
  <c r="AT259" i="20"/>
  <c r="B259" i="20"/>
  <c r="AU258" i="20"/>
  <c r="AT258" i="20"/>
  <c r="B258" i="20"/>
  <c r="AU257" i="20"/>
  <c r="AT257" i="20"/>
  <c r="B257" i="20"/>
  <c r="AU256" i="20"/>
  <c r="AT256" i="20"/>
  <c r="B256" i="20"/>
  <c r="AU251" i="20"/>
  <c r="AT251" i="20"/>
  <c r="B251" i="20"/>
  <c r="AU225" i="20"/>
  <c r="AT225" i="20"/>
  <c r="AU238" i="20"/>
  <c r="AT238" i="20"/>
  <c r="AU250" i="20"/>
  <c r="AT250" i="20"/>
  <c r="B250" i="20"/>
  <c r="AU249" i="20"/>
  <c r="AT249" i="20"/>
  <c r="B249" i="20"/>
  <c r="AU212" i="20"/>
  <c r="AT212" i="20"/>
  <c r="AU246" i="20"/>
  <c r="AT246" i="20"/>
  <c r="B246" i="20"/>
  <c r="AU245" i="20"/>
  <c r="AT245" i="20"/>
  <c r="B245" i="20"/>
  <c r="AU211" i="20"/>
  <c r="AT211" i="20"/>
  <c r="AU244" i="20"/>
  <c r="AT244" i="20"/>
  <c r="B244" i="20"/>
  <c r="AU247" i="20"/>
  <c r="AT247" i="20"/>
  <c r="B247" i="20"/>
  <c r="AU248" i="20"/>
  <c r="AT248" i="20"/>
  <c r="B248" i="20"/>
  <c r="AU252" i="20"/>
  <c r="AT252" i="20"/>
  <c r="B252" i="20"/>
  <c r="AU253" i="20"/>
  <c r="AT253" i="20"/>
  <c r="B253" i="20"/>
  <c r="AU255" i="20"/>
  <c r="AT255" i="20"/>
  <c r="B255" i="20"/>
  <c r="AU254" i="20"/>
  <c r="AT254" i="20"/>
  <c r="B254" i="20"/>
  <c r="AU269" i="20"/>
  <c r="AT269" i="20"/>
  <c r="B269" i="20"/>
  <c r="AU268" i="20"/>
  <c r="AT268" i="20"/>
  <c r="B268" i="20"/>
  <c r="AU267" i="20"/>
  <c r="AT267" i="20"/>
  <c r="B267" i="20"/>
  <c r="AU270" i="20"/>
  <c r="AT270" i="20"/>
  <c r="B270" i="20"/>
  <c r="AU271" i="20"/>
  <c r="AT271" i="20"/>
  <c r="B271" i="20"/>
  <c r="AU272" i="20"/>
  <c r="AT272" i="20"/>
  <c r="B272" i="20"/>
  <c r="AU276" i="20"/>
  <c r="AT276" i="20"/>
  <c r="B276" i="20"/>
  <c r="AU275" i="20"/>
  <c r="AT275" i="20"/>
  <c r="B275" i="20"/>
  <c r="AU274" i="20"/>
  <c r="AT274" i="20"/>
  <c r="B274" i="20"/>
  <c r="AU273" i="20"/>
  <c r="AT273" i="20"/>
  <c r="B273" i="20"/>
  <c r="AU277" i="20"/>
  <c r="AT277" i="20"/>
  <c r="B277" i="20"/>
  <c r="AU279" i="20"/>
  <c r="AT279" i="20"/>
  <c r="B279" i="20"/>
  <c r="AU278" i="20"/>
  <c r="AT278" i="20"/>
  <c r="B278" i="20"/>
  <c r="AU281" i="20"/>
  <c r="AT281" i="20"/>
  <c r="B281" i="20"/>
  <c r="AU280" i="20"/>
  <c r="AT280" i="20"/>
  <c r="B280" i="20"/>
  <c r="AU282" i="20"/>
  <c r="AT282" i="20"/>
  <c r="B282" i="20"/>
  <c r="AU284" i="20"/>
  <c r="AT284" i="20"/>
  <c r="B284" i="20"/>
  <c r="AU283" i="20"/>
  <c r="AT283" i="20"/>
  <c r="B283" i="20"/>
  <c r="AU287" i="20"/>
  <c r="AT287" i="20"/>
  <c r="B287" i="20"/>
  <c r="AU286" i="20"/>
  <c r="AT286" i="20"/>
  <c r="B286" i="20"/>
  <c r="AU285" i="20"/>
  <c r="AT285" i="20"/>
  <c r="B285" i="20"/>
  <c r="AU289" i="20"/>
  <c r="AT289" i="20"/>
  <c r="B289" i="20"/>
  <c r="AU288" i="20"/>
  <c r="AT288" i="20"/>
  <c r="B288" i="20"/>
  <c r="AU290" i="20"/>
  <c r="AT290" i="20"/>
  <c r="B290" i="20"/>
  <c r="AU292" i="20"/>
  <c r="AT292" i="20"/>
  <c r="B292" i="20"/>
  <c r="AU291" i="20"/>
  <c r="AT291" i="20"/>
  <c r="B291" i="20"/>
  <c r="AU293" i="20"/>
  <c r="AT293" i="20"/>
  <c r="B293" i="20"/>
  <c r="AU294" i="20"/>
  <c r="AT294" i="20"/>
  <c r="B294" i="20"/>
  <c r="AU299" i="20"/>
  <c r="AT299" i="20"/>
  <c r="B299" i="20"/>
  <c r="AU298" i="20"/>
  <c r="AT298" i="20"/>
  <c r="B298" i="20"/>
  <c r="AU297" i="20"/>
  <c r="AT297" i="20"/>
  <c r="B297" i="20"/>
  <c r="AU296" i="20"/>
  <c r="AT296" i="20"/>
  <c r="B296" i="20"/>
  <c r="AU295" i="20"/>
  <c r="AT295" i="20"/>
  <c r="B295" i="20"/>
  <c r="AU303" i="20"/>
  <c r="AT303" i="20"/>
  <c r="B303" i="20"/>
  <c r="AU302" i="20"/>
  <c r="AT302" i="20"/>
  <c r="B302" i="20"/>
  <c r="AU301" i="20"/>
  <c r="AT301" i="20"/>
  <c r="B301" i="20"/>
  <c r="AU300" i="20"/>
  <c r="AT300" i="20"/>
  <c r="B300" i="20"/>
  <c r="AU305" i="20"/>
  <c r="AT305" i="20"/>
  <c r="B305" i="20"/>
  <c r="AU304" i="20"/>
  <c r="AT304" i="20"/>
  <c r="B304" i="20"/>
  <c r="AU307" i="20"/>
  <c r="AT307" i="20"/>
  <c r="B307" i="20"/>
  <c r="AU306" i="20"/>
  <c r="AT306" i="20"/>
  <c r="B306" i="20"/>
  <c r="AU308" i="20"/>
  <c r="AT308" i="20"/>
  <c r="B308" i="20"/>
  <c r="AU309" i="20"/>
  <c r="AT309" i="20"/>
  <c r="B309" i="20"/>
  <c r="AU310" i="20"/>
  <c r="AT310" i="20"/>
  <c r="B310" i="20"/>
  <c r="AU311" i="20"/>
  <c r="AT311" i="20"/>
  <c r="B311" i="20"/>
  <c r="AU312" i="20"/>
  <c r="AT312" i="20"/>
  <c r="B312" i="20"/>
  <c r="AU313" i="20"/>
  <c r="AT313" i="20"/>
  <c r="B313" i="20"/>
  <c r="AU314" i="20"/>
  <c r="AT314" i="20"/>
  <c r="B314" i="20"/>
  <c r="AU315" i="20"/>
  <c r="AT315" i="20"/>
  <c r="B315" i="20"/>
  <c r="AU317" i="20"/>
  <c r="AT317" i="20"/>
  <c r="B317" i="20"/>
  <c r="AU316" i="20"/>
  <c r="AT316" i="20"/>
  <c r="B316" i="20"/>
  <c r="AU319" i="20"/>
  <c r="AT319" i="20"/>
  <c r="B319" i="20"/>
  <c r="AU318" i="20"/>
  <c r="AT318" i="20"/>
  <c r="B318" i="20"/>
  <c r="AU324" i="20"/>
  <c r="AT324" i="20"/>
  <c r="B324" i="20"/>
  <c r="AU323" i="20"/>
  <c r="AT323" i="20"/>
  <c r="B323" i="20"/>
  <c r="AU322" i="20"/>
  <c r="AT322" i="20"/>
  <c r="B322" i="20"/>
  <c r="AU321" i="20"/>
  <c r="AT321" i="20"/>
  <c r="B321" i="20"/>
  <c r="AU320" i="20"/>
  <c r="AT320" i="20"/>
  <c r="B320" i="20"/>
  <c r="AU327" i="20"/>
  <c r="AT327" i="20"/>
  <c r="B327" i="20"/>
  <c r="AU326" i="20"/>
  <c r="AT326" i="20"/>
  <c r="B326" i="20"/>
  <c r="AU325" i="20"/>
  <c r="AT325" i="20"/>
  <c r="B325" i="20"/>
  <c r="AU338" i="20"/>
  <c r="AT338" i="20"/>
  <c r="B338" i="20"/>
  <c r="AU337" i="20"/>
  <c r="AT337" i="20"/>
  <c r="B337" i="20"/>
  <c r="AU336" i="20"/>
  <c r="AT336" i="20"/>
  <c r="B336" i="20"/>
  <c r="AU335" i="20"/>
  <c r="AT335" i="20"/>
  <c r="B335" i="20"/>
  <c r="AU334" i="20"/>
  <c r="AT334" i="20"/>
  <c r="B334" i="20"/>
  <c r="AU333" i="20"/>
  <c r="AT333" i="20"/>
  <c r="B333" i="20"/>
  <c r="AU332" i="20"/>
  <c r="AT332" i="20"/>
  <c r="B332" i="20"/>
  <c r="AU331" i="20"/>
  <c r="AT331" i="20"/>
  <c r="B331" i="20"/>
  <c r="AU330" i="20"/>
  <c r="AT330" i="20"/>
  <c r="B330" i="20"/>
  <c r="AU329" i="20"/>
  <c r="AT329" i="20"/>
  <c r="B329" i="20"/>
  <c r="AU328" i="20"/>
  <c r="AT328" i="20"/>
  <c r="B328" i="20"/>
  <c r="AU341" i="20"/>
  <c r="AT341" i="20"/>
  <c r="B341" i="20"/>
  <c r="AU340" i="20"/>
  <c r="AT340" i="20"/>
  <c r="B340" i="20"/>
  <c r="AU339" i="20"/>
  <c r="AT339" i="20"/>
  <c r="B339" i="20"/>
  <c r="AU347" i="20"/>
  <c r="AT347" i="20"/>
  <c r="B347" i="20"/>
  <c r="AU346" i="20"/>
  <c r="AT346" i="20"/>
  <c r="B346" i="20"/>
  <c r="AU345" i="20"/>
  <c r="AT345" i="20"/>
  <c r="B345" i="20"/>
  <c r="AU344" i="20"/>
  <c r="AT344" i="20"/>
  <c r="B344" i="20"/>
  <c r="AU343" i="20"/>
  <c r="AT343" i="20"/>
  <c r="B343" i="20"/>
  <c r="AU342" i="20"/>
  <c r="AT342" i="20"/>
  <c r="B342" i="20"/>
  <c r="AU349" i="20"/>
  <c r="AT349" i="20"/>
  <c r="B349" i="20"/>
  <c r="AU348" i="20"/>
  <c r="AT348" i="20"/>
  <c r="B348" i="20"/>
  <c r="AU351" i="20"/>
  <c r="AT351" i="20"/>
  <c r="B351" i="20"/>
  <c r="AU350" i="20"/>
  <c r="AT350" i="20"/>
  <c r="B350" i="20"/>
  <c r="AU352" i="20"/>
  <c r="AT352" i="20"/>
  <c r="B352" i="20"/>
  <c r="AU353" i="20"/>
  <c r="AT353" i="20"/>
  <c r="B353" i="20"/>
  <c r="AU354" i="20"/>
  <c r="AT354" i="20"/>
  <c r="B354" i="20"/>
  <c r="AU356" i="20"/>
  <c r="AT356" i="20"/>
  <c r="B356" i="20"/>
  <c r="AU355" i="20"/>
  <c r="AT355" i="20"/>
  <c r="B355" i="20"/>
  <c r="AU357" i="20"/>
  <c r="AT357" i="20"/>
  <c r="B357" i="20"/>
  <c r="AU358" i="20"/>
  <c r="AT358" i="20"/>
  <c r="B358" i="20"/>
  <c r="AU359" i="20"/>
  <c r="AT359" i="20"/>
  <c r="B359" i="20"/>
  <c r="AU360" i="20"/>
  <c r="AT360" i="20"/>
  <c r="B360" i="20"/>
  <c r="AU362" i="20"/>
  <c r="AT362" i="20"/>
  <c r="B362" i="20"/>
  <c r="AU361" i="20"/>
  <c r="AT361" i="20"/>
  <c r="B361" i="20"/>
  <c r="AU363" i="20"/>
  <c r="AT363" i="20"/>
  <c r="B363" i="20"/>
  <c r="AU364" i="20"/>
  <c r="AT364" i="20"/>
  <c r="B364" i="20"/>
  <c r="AU365" i="20"/>
  <c r="AT365" i="20"/>
  <c r="B365" i="20"/>
  <c r="AU366" i="20"/>
  <c r="AT366" i="20"/>
  <c r="B366" i="20"/>
  <c r="AU371" i="20"/>
  <c r="AT371" i="20"/>
  <c r="B371" i="20"/>
  <c r="AU370" i="20"/>
  <c r="AT370" i="20"/>
  <c r="B370" i="20"/>
  <c r="AU369" i="20"/>
  <c r="AT369" i="20"/>
  <c r="B369" i="20"/>
  <c r="AU368" i="20"/>
  <c r="AT368" i="20"/>
  <c r="B368" i="20"/>
  <c r="AU367" i="20"/>
  <c r="AT367" i="20"/>
  <c r="B367" i="20"/>
  <c r="AU372" i="20"/>
  <c r="AT372" i="20"/>
  <c r="B372" i="20"/>
  <c r="AU373" i="20"/>
  <c r="AT373" i="20"/>
  <c r="B373" i="20"/>
  <c r="AU375" i="20"/>
  <c r="AT375" i="20"/>
  <c r="B375" i="20"/>
  <c r="AU374" i="20"/>
  <c r="AT374" i="20"/>
  <c r="B374" i="20"/>
  <c r="AU381" i="20"/>
  <c r="AT381" i="20"/>
  <c r="B381" i="20"/>
  <c r="AU380" i="20"/>
  <c r="AT380" i="20"/>
  <c r="B380" i="20"/>
  <c r="AU379" i="20"/>
  <c r="AT379" i="20"/>
  <c r="B379" i="20"/>
  <c r="AU378" i="20"/>
  <c r="AT378" i="20"/>
  <c r="B378" i="20"/>
  <c r="AU377" i="20"/>
  <c r="AT377" i="20"/>
  <c r="B377" i="20"/>
  <c r="AU376" i="20"/>
  <c r="AT376" i="20"/>
  <c r="B376" i="20"/>
  <c r="AU385" i="20"/>
  <c r="AT385" i="20"/>
  <c r="B385" i="20"/>
  <c r="AU384" i="20"/>
  <c r="AT384" i="20"/>
  <c r="B384" i="20"/>
  <c r="AU383" i="20"/>
  <c r="AT383" i="20"/>
  <c r="B383" i="20"/>
  <c r="AU382" i="20"/>
  <c r="AT382" i="20"/>
  <c r="B382" i="20"/>
  <c r="AU386" i="20"/>
  <c r="AT386" i="20"/>
  <c r="B386" i="20"/>
  <c r="AU396" i="20"/>
  <c r="AT396" i="20"/>
  <c r="B396" i="20"/>
  <c r="AU395" i="20"/>
  <c r="AT395" i="20"/>
  <c r="B395" i="20"/>
  <c r="AU394" i="20"/>
  <c r="AT394" i="20"/>
  <c r="B394" i="20"/>
  <c r="AU393" i="20"/>
  <c r="AT393" i="20"/>
  <c r="B393" i="20"/>
  <c r="AU392" i="20"/>
  <c r="AT392" i="20"/>
  <c r="B392" i="20"/>
  <c r="AU391" i="20"/>
  <c r="AT391" i="20"/>
  <c r="B391" i="20"/>
  <c r="AU390" i="20"/>
  <c r="AT390" i="20"/>
  <c r="B390" i="20"/>
  <c r="AU389" i="20"/>
  <c r="AT389" i="20"/>
  <c r="B389" i="20"/>
  <c r="AU388" i="20"/>
  <c r="AT388" i="20"/>
  <c r="B388" i="20"/>
  <c r="AU387" i="20"/>
  <c r="AT387" i="20"/>
  <c r="B387" i="20"/>
  <c r="AU398" i="20"/>
  <c r="AT398" i="20"/>
  <c r="B398" i="20"/>
  <c r="AU397" i="20"/>
  <c r="AT397" i="20"/>
  <c r="B397" i="20"/>
  <c r="AU404" i="20"/>
  <c r="AT404" i="20"/>
  <c r="B404" i="20"/>
  <c r="AU403" i="20"/>
  <c r="AT403" i="20"/>
  <c r="B403" i="20"/>
  <c r="AU402" i="20"/>
  <c r="AT402" i="20"/>
  <c r="B402" i="20"/>
  <c r="AU401" i="20"/>
  <c r="AT401" i="20"/>
  <c r="B401" i="20"/>
  <c r="AU400" i="20"/>
  <c r="AT400" i="20"/>
  <c r="B400" i="20"/>
  <c r="AU399" i="20"/>
  <c r="AT399" i="20"/>
  <c r="B399" i="20"/>
  <c r="AU406" i="20"/>
  <c r="AT406" i="20"/>
  <c r="B406" i="20"/>
  <c r="AU405" i="20"/>
  <c r="AT405" i="20"/>
  <c r="B405" i="20"/>
  <c r="AU407" i="20"/>
  <c r="AT407" i="20"/>
  <c r="B407" i="20"/>
  <c r="AU408" i="20"/>
  <c r="AT408" i="20"/>
  <c r="B408" i="20"/>
  <c r="AU409" i="20"/>
  <c r="AT409" i="20"/>
  <c r="B409" i="20"/>
  <c r="AU412" i="20"/>
  <c r="AT412" i="20"/>
  <c r="B412" i="20"/>
  <c r="AU411" i="20"/>
  <c r="AT411" i="20"/>
  <c r="B411" i="20"/>
  <c r="AU410" i="20"/>
  <c r="AT410" i="20"/>
  <c r="B410" i="20"/>
  <c r="AU413" i="20"/>
  <c r="AT413" i="20"/>
  <c r="B413" i="20"/>
  <c r="AU416" i="20"/>
  <c r="AT416" i="20"/>
  <c r="B416" i="20"/>
  <c r="AU415" i="20"/>
  <c r="AT415" i="20"/>
  <c r="B415" i="20"/>
  <c r="AU414" i="20"/>
  <c r="AT414" i="20"/>
  <c r="B414" i="20"/>
  <c r="AU417" i="20"/>
  <c r="AT417" i="20"/>
  <c r="B417" i="20"/>
  <c r="AU421" i="20"/>
  <c r="AT421" i="20"/>
  <c r="B421" i="20"/>
  <c r="AU420" i="20"/>
  <c r="AT420" i="20"/>
  <c r="B420" i="20"/>
  <c r="AU419" i="20"/>
  <c r="AT419" i="20"/>
  <c r="B419" i="20"/>
  <c r="AU418" i="20"/>
  <c r="AT418" i="20"/>
  <c r="B418" i="20"/>
  <c r="AU430" i="20"/>
  <c r="AT430" i="20"/>
  <c r="B430" i="20"/>
  <c r="AU429" i="20"/>
  <c r="AT429" i="20"/>
  <c r="B429" i="20"/>
  <c r="AU428" i="20"/>
  <c r="AT428" i="20"/>
  <c r="B428" i="20"/>
  <c r="AU427" i="20"/>
  <c r="AT427" i="20"/>
  <c r="B427" i="20"/>
  <c r="AU426" i="20"/>
  <c r="AT426" i="20"/>
  <c r="B426" i="20"/>
  <c r="AU425" i="20"/>
  <c r="AT425" i="20"/>
  <c r="B425" i="20"/>
  <c r="AU424" i="20"/>
  <c r="AT424" i="20"/>
  <c r="B424" i="20"/>
  <c r="AU423" i="20"/>
  <c r="AT423" i="20"/>
  <c r="B423" i="20"/>
  <c r="AU422" i="20"/>
  <c r="AT422" i="20"/>
  <c r="B422" i="20"/>
  <c r="AU433" i="20"/>
  <c r="AT433" i="20"/>
  <c r="B433" i="20"/>
  <c r="AU432" i="20"/>
  <c r="AT432" i="20"/>
  <c r="B432" i="20"/>
  <c r="AU431" i="20"/>
  <c r="AT431" i="20"/>
  <c r="B431" i="20"/>
  <c r="AU435" i="20"/>
  <c r="AT435" i="20"/>
  <c r="B435" i="20"/>
  <c r="AU434" i="20"/>
  <c r="AT434" i="20"/>
  <c r="B434" i="20"/>
  <c r="AU437" i="20"/>
  <c r="AT437" i="20"/>
  <c r="B437" i="20"/>
  <c r="AU436" i="20"/>
  <c r="AT436" i="20"/>
  <c r="B436" i="20"/>
  <c r="AU439" i="20"/>
  <c r="AT439" i="20"/>
  <c r="B439" i="20"/>
  <c r="AU438" i="20"/>
  <c r="AT438" i="20"/>
  <c r="B438" i="20"/>
  <c r="AU441" i="20"/>
  <c r="AT441" i="20"/>
  <c r="B441" i="20"/>
  <c r="AU440" i="20"/>
  <c r="AT440" i="20"/>
  <c r="B440" i="20"/>
  <c r="AU447" i="20"/>
  <c r="AT447" i="20"/>
  <c r="B447" i="20"/>
  <c r="AU446" i="20"/>
  <c r="AT446" i="20"/>
  <c r="B446" i="20"/>
  <c r="AU445" i="20"/>
  <c r="AT445" i="20"/>
  <c r="B445" i="20"/>
  <c r="AU444" i="20"/>
  <c r="AT444" i="20"/>
  <c r="B444" i="20"/>
  <c r="AU443" i="20"/>
  <c r="AT443" i="20"/>
  <c r="B443" i="20"/>
  <c r="AU442" i="20"/>
  <c r="AT442" i="20"/>
  <c r="B442" i="20"/>
  <c r="AU448" i="20"/>
  <c r="AT448" i="20"/>
  <c r="B448" i="20"/>
  <c r="AU467" i="20"/>
  <c r="AT467" i="20"/>
  <c r="B467" i="20"/>
  <c r="AU466" i="20"/>
  <c r="AT466" i="20"/>
  <c r="B466" i="20"/>
  <c r="AU465" i="20"/>
  <c r="AT465" i="20"/>
  <c r="B465" i="20"/>
  <c r="AU464" i="20"/>
  <c r="AT464" i="20"/>
  <c r="B464" i="20"/>
  <c r="AU463" i="20"/>
  <c r="AT463" i="20"/>
  <c r="B46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50" i="20"/>
  <c r="AT450" i="20"/>
  <c r="B450" i="20"/>
  <c r="AU449" i="20"/>
  <c r="AT449" i="20"/>
  <c r="B449" i="20"/>
  <c r="AU471" i="20"/>
  <c r="AT471" i="20"/>
  <c r="B471" i="20"/>
  <c r="AU470" i="20"/>
  <c r="AT470" i="20"/>
  <c r="B470" i="20"/>
  <c r="AU469" i="20"/>
  <c r="AT469" i="20"/>
  <c r="B469" i="20"/>
  <c r="AU468" i="20"/>
  <c r="AT468" i="20"/>
  <c r="B468" i="20"/>
  <c r="AU473" i="20"/>
  <c r="AT473" i="20"/>
  <c r="B473" i="20"/>
  <c r="AU472" i="20"/>
  <c r="AT472" i="20"/>
  <c r="B472" i="20"/>
  <c r="AU474" i="20"/>
  <c r="AT474" i="20"/>
  <c r="B474" i="20"/>
  <c r="AU475" i="20"/>
  <c r="AT475" i="20"/>
  <c r="B475" i="20"/>
  <c r="AU482" i="20"/>
  <c r="AT482" i="20"/>
  <c r="B482" i="20"/>
  <c r="AU481" i="20"/>
  <c r="AT481" i="20"/>
  <c r="B481" i="20"/>
  <c r="AU480" i="20"/>
  <c r="AT480" i="20"/>
  <c r="B480" i="20"/>
  <c r="AU479" i="20"/>
  <c r="AT479" i="20"/>
  <c r="B479" i="20"/>
  <c r="AU478" i="20"/>
  <c r="AT478" i="20"/>
  <c r="B478" i="20"/>
  <c r="AU477" i="20"/>
  <c r="AT477" i="20"/>
  <c r="B477" i="20"/>
  <c r="AU476" i="20"/>
  <c r="AT476" i="20"/>
  <c r="B476" i="20"/>
  <c r="AU488" i="20"/>
  <c r="AT488" i="20"/>
  <c r="B488" i="20"/>
  <c r="AU487" i="20"/>
  <c r="AT487" i="20"/>
  <c r="B487" i="20"/>
  <c r="AU486" i="20"/>
  <c r="AT486" i="20"/>
  <c r="B486" i="20"/>
  <c r="AU485" i="20"/>
  <c r="AT485" i="20"/>
  <c r="B485" i="20"/>
  <c r="AU484" i="20"/>
  <c r="AT484" i="20"/>
  <c r="B484" i="20"/>
  <c r="AU483" i="20"/>
  <c r="AT483" i="20"/>
  <c r="B483" i="20"/>
  <c r="AU494" i="20"/>
  <c r="AT494" i="20"/>
  <c r="B494" i="20"/>
  <c r="AU493" i="20"/>
  <c r="AT493" i="20"/>
  <c r="B493" i="20"/>
  <c r="AU492" i="20"/>
  <c r="AT492" i="20"/>
  <c r="B492" i="20"/>
  <c r="AU491" i="20"/>
  <c r="AT491" i="20"/>
  <c r="B491" i="20"/>
  <c r="AU490" i="20"/>
  <c r="AT490" i="20"/>
  <c r="B490" i="20"/>
  <c r="AU489" i="20"/>
  <c r="AT489" i="20"/>
  <c r="B489" i="20"/>
  <c r="AU495" i="20"/>
  <c r="AT495" i="20"/>
  <c r="B495" i="20"/>
  <c r="AU496" i="20"/>
  <c r="AT496" i="20"/>
  <c r="B496" i="20"/>
  <c r="AU497" i="20"/>
  <c r="AT497" i="20"/>
  <c r="B497" i="20"/>
  <c r="AU500" i="20"/>
  <c r="AT500" i="20"/>
  <c r="B500" i="20"/>
  <c r="AU499" i="20"/>
  <c r="AT499" i="20"/>
  <c r="B499" i="20"/>
  <c r="AU498" i="20"/>
  <c r="AT498" i="20"/>
  <c r="B498" i="20"/>
  <c r="AU502" i="20"/>
  <c r="AT502" i="20"/>
  <c r="B502" i="20"/>
  <c r="AU501" i="20"/>
  <c r="AT501" i="20"/>
  <c r="B501" i="20"/>
  <c r="AU503" i="20"/>
  <c r="AT503" i="20"/>
  <c r="B503" i="20"/>
  <c r="AU504" i="20"/>
  <c r="AT504" i="20"/>
  <c r="B504" i="20"/>
  <c r="AU505" i="20"/>
  <c r="AT505" i="20"/>
  <c r="B505" i="20"/>
  <c r="AU506" i="20"/>
  <c r="AT506" i="20"/>
  <c r="B506" i="20"/>
  <c r="AU510" i="20"/>
  <c r="AT510" i="20"/>
  <c r="B510" i="20"/>
  <c r="AU509" i="20"/>
  <c r="AT509" i="20"/>
  <c r="B509" i="20"/>
  <c r="AU508" i="20"/>
  <c r="AT508" i="20"/>
  <c r="B508" i="20"/>
  <c r="AU507" i="20"/>
  <c r="AT507" i="20"/>
  <c r="B507" i="20"/>
  <c r="AU511" i="20"/>
  <c r="AT511" i="20"/>
  <c r="B511" i="20"/>
  <c r="AU512" i="20"/>
  <c r="AT512" i="20"/>
  <c r="B512" i="20"/>
  <c r="AU514" i="20"/>
  <c r="AT514" i="20"/>
  <c r="B514" i="20"/>
  <c r="AU513" i="20"/>
  <c r="AT513" i="20"/>
  <c r="B513" i="20"/>
  <c r="AU516" i="20"/>
  <c r="AT516" i="20"/>
  <c r="B516" i="20"/>
  <c r="AU515" i="20"/>
  <c r="AT515" i="20"/>
  <c r="B515" i="20"/>
  <c r="AU517" i="20"/>
  <c r="AT517" i="20"/>
  <c r="B517" i="20"/>
  <c r="AU518" i="20"/>
  <c r="AT518" i="20"/>
  <c r="B518" i="20"/>
  <c r="AU519" i="20"/>
  <c r="AT519" i="20"/>
  <c r="B519" i="20"/>
  <c r="AU521" i="20"/>
  <c r="AT521" i="20"/>
  <c r="B521" i="20"/>
  <c r="AU520" i="20"/>
  <c r="AT520" i="20"/>
  <c r="B520" i="20"/>
  <c r="AU522" i="20"/>
  <c r="AT522" i="20"/>
  <c r="B522" i="20"/>
  <c r="AU523" i="20"/>
  <c r="AT523" i="20"/>
  <c r="B523" i="20"/>
  <c r="AU525" i="20"/>
  <c r="AT525" i="20"/>
  <c r="B525" i="20"/>
  <c r="AU524" i="20"/>
  <c r="AT524" i="20"/>
  <c r="B524" i="20"/>
  <c r="AU526" i="20"/>
  <c r="AT526" i="20"/>
  <c r="B526" i="20"/>
  <c r="AU527" i="20"/>
  <c r="AT527" i="20"/>
  <c r="B527" i="20"/>
  <c r="AU533" i="20"/>
  <c r="AT533" i="20"/>
  <c r="B533" i="20"/>
  <c r="AU532" i="20"/>
  <c r="AT532" i="20"/>
  <c r="B532" i="20"/>
  <c r="AU531" i="20"/>
  <c r="AT531" i="20"/>
  <c r="B531" i="20"/>
  <c r="AU530" i="20"/>
  <c r="AT530" i="20"/>
  <c r="B530" i="20"/>
  <c r="AU529" i="20"/>
  <c r="AT529" i="20"/>
  <c r="B529" i="20"/>
  <c r="AU528" i="20"/>
  <c r="AT528" i="20"/>
  <c r="B528" i="20"/>
  <c r="AU543" i="20"/>
  <c r="AT543" i="20"/>
  <c r="B543" i="20"/>
  <c r="AU542" i="20"/>
  <c r="AT542" i="20"/>
  <c r="B542" i="20"/>
  <c r="AU541" i="20"/>
  <c r="AT541" i="20"/>
  <c r="B541" i="20"/>
  <c r="AU540" i="20"/>
  <c r="AT540" i="20"/>
  <c r="B540" i="20"/>
  <c r="AU539" i="20"/>
  <c r="AT539" i="20"/>
  <c r="B539" i="20"/>
  <c r="AU538" i="20"/>
  <c r="AT538" i="20"/>
  <c r="B538" i="20"/>
  <c r="AU537" i="20"/>
  <c r="AT537" i="20"/>
  <c r="B537" i="20"/>
  <c r="AU536" i="20"/>
  <c r="AT536" i="20"/>
  <c r="B536" i="20"/>
  <c r="AU535" i="20"/>
  <c r="AT535" i="20"/>
  <c r="B535" i="20"/>
  <c r="AU534" i="20"/>
  <c r="AT534" i="20"/>
  <c r="B534" i="20"/>
  <c r="AU547" i="20"/>
  <c r="AT547" i="20"/>
  <c r="B547" i="20"/>
  <c r="AU546" i="20"/>
  <c r="AT546" i="20"/>
  <c r="B546" i="20"/>
  <c r="AU545" i="20"/>
  <c r="AT545" i="20"/>
  <c r="B545" i="20"/>
  <c r="AU544" i="20"/>
  <c r="AT544" i="20"/>
  <c r="B544" i="20"/>
  <c r="AU554" i="20"/>
  <c r="AT554" i="20"/>
  <c r="B554" i="20"/>
  <c r="AU553" i="20"/>
  <c r="AT553" i="20"/>
  <c r="B553" i="20"/>
  <c r="AU552" i="20"/>
  <c r="AT552" i="20"/>
  <c r="B552" i="20"/>
  <c r="AU551" i="20"/>
  <c r="AT551" i="20"/>
  <c r="B551" i="20"/>
  <c r="AU550" i="20"/>
  <c r="AT550" i="20"/>
  <c r="B550" i="20"/>
  <c r="AU549" i="20"/>
  <c r="AT549" i="20"/>
  <c r="B549" i="20"/>
  <c r="AU548" i="20"/>
  <c r="AT548" i="20"/>
  <c r="B548" i="20"/>
  <c r="AU560" i="20"/>
  <c r="AT560" i="20"/>
  <c r="B560" i="20"/>
  <c r="AU559" i="20"/>
  <c r="AT559" i="20"/>
  <c r="B559" i="20"/>
  <c r="AU558" i="20"/>
  <c r="AT558" i="20"/>
  <c r="B558" i="20"/>
  <c r="AU557" i="20"/>
  <c r="AT557" i="20"/>
  <c r="B557" i="20"/>
  <c r="AU556" i="20"/>
  <c r="AT556" i="20"/>
  <c r="B556" i="20"/>
  <c r="AU555" i="20"/>
  <c r="AT555" i="20"/>
  <c r="B555" i="20"/>
  <c r="AU565" i="20"/>
  <c r="AT565" i="20"/>
  <c r="B565" i="20"/>
  <c r="AU564" i="20"/>
  <c r="AT564" i="20"/>
  <c r="B564" i="20"/>
  <c r="AU563" i="20"/>
  <c r="AT563" i="20"/>
  <c r="B563" i="20"/>
  <c r="AU562" i="20"/>
  <c r="AT562" i="20"/>
  <c r="B562" i="20"/>
  <c r="AU561" i="20"/>
  <c r="AT561" i="20"/>
  <c r="B561" i="20"/>
  <c r="AU570" i="20"/>
  <c r="AT570" i="20"/>
  <c r="B570" i="20"/>
  <c r="AU569" i="20"/>
  <c r="AT569" i="20"/>
  <c r="B569" i="20"/>
  <c r="AU568" i="20"/>
  <c r="AT568" i="20"/>
  <c r="B568" i="20"/>
  <c r="AU567" i="20"/>
  <c r="AT567" i="20"/>
  <c r="B567" i="20"/>
  <c r="AU566" i="20"/>
  <c r="AT566" i="20"/>
  <c r="B566" i="20"/>
  <c r="AU573" i="20"/>
  <c r="AT573" i="20"/>
  <c r="B573" i="20"/>
  <c r="AU572" i="20"/>
  <c r="AT572" i="20"/>
  <c r="B572" i="20"/>
  <c r="AU571" i="20"/>
  <c r="AT571" i="20"/>
  <c r="B57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71" i="75"/>
  <c r="D170" i="75"/>
  <c r="D169" i="75"/>
  <c r="D168" i="75"/>
  <c r="D167" i="75"/>
  <c r="D166" i="75"/>
  <c r="D165" i="75"/>
  <c r="D164" i="75"/>
  <c r="D153" i="75"/>
  <c r="D152" i="75"/>
  <c r="D151" i="75"/>
  <c r="D150" i="75"/>
  <c r="D149" i="75"/>
  <c r="D148" i="75"/>
  <c r="D147" i="75"/>
  <c r="D146" i="75"/>
  <c r="D145" i="75"/>
  <c r="D144" i="75"/>
  <c r="D143" i="75"/>
  <c r="D142" i="75"/>
  <c r="D135" i="75"/>
  <c r="D134" i="75"/>
  <c r="D133" i="75"/>
  <c r="D132" i="75"/>
  <c r="D131" i="75"/>
  <c r="D130" i="75"/>
  <c r="D129" i="75"/>
  <c r="D128"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9" i="14"/>
  <c r="AA29" i="14"/>
  <c r="AA28" i="14"/>
  <c r="AI111" i="14"/>
  <c r="AI27" i="14"/>
  <c r="AA27" i="14"/>
  <c r="AI32" i="14"/>
  <c r="AA32" i="14"/>
  <c r="AI39" i="14"/>
  <c r="AA39" i="14"/>
  <c r="AI24" i="14"/>
  <c r="AA24" i="14"/>
  <c r="AI38" i="14"/>
  <c r="AA38" i="14"/>
  <c r="AI37" i="14"/>
  <c r="AA37" i="14"/>
  <c r="AI23" i="14"/>
  <c r="AA23" i="14"/>
  <c r="AI20" i="14"/>
  <c r="AA20" i="14"/>
  <c r="AI19" i="14"/>
  <c r="AA19" i="14"/>
  <c r="AI17" i="14"/>
  <c r="AA17" i="14"/>
  <c r="AI14" i="14"/>
  <c r="AA14" i="14"/>
  <c r="AI12" i="14"/>
  <c r="AA12" i="14"/>
  <c r="AI75" i="14"/>
  <c r="AA75" i="14"/>
  <c r="AI110" i="14"/>
  <c r="AA110" i="14"/>
  <c r="AI109" i="14"/>
  <c r="AA109" i="14"/>
  <c r="AI108" i="14"/>
  <c r="AA108" i="14"/>
  <c r="AI107" i="14"/>
  <c r="AA107" i="14"/>
  <c r="AI106" i="14"/>
  <c r="AA106" i="14"/>
  <c r="AI76" i="14"/>
  <c r="AA76" i="14"/>
  <c r="AI74" i="14"/>
  <c r="AA74" i="14"/>
  <c r="AI11" i="14"/>
  <c r="AA11" i="14"/>
  <c r="AI72" i="14"/>
  <c r="AA72" i="14"/>
  <c r="AI71" i="14"/>
  <c r="AA71" i="14"/>
  <c r="AI70" i="14"/>
  <c r="AA70" i="14"/>
  <c r="AI10" i="14"/>
  <c r="AA10" i="14"/>
  <c r="AI8" i="14"/>
  <c r="AA8" i="14"/>
  <c r="AI7" i="14"/>
  <c r="AI6" i="14"/>
  <c r="AA6" i="14"/>
  <c r="AI61" i="14"/>
  <c r="AA61" i="14"/>
  <c r="AI60" i="14"/>
  <c r="AA60" i="14"/>
  <c r="AI9" i="14"/>
  <c r="AI22" i="14"/>
  <c r="AA22" i="14"/>
  <c r="AI25" i="14"/>
  <c r="AI30" i="14"/>
  <c r="AI36" i="14"/>
  <c r="AA36" i="14"/>
  <c r="AI5" i="14"/>
  <c r="AA5" i="14"/>
  <c r="AI26" i="14"/>
  <c r="AA26" i="14"/>
  <c r="AI40" i="14"/>
  <c r="AA40" i="14"/>
  <c r="AI59" i="14"/>
  <c r="AA59" i="14"/>
  <c r="AI35" i="14"/>
  <c r="AA35" i="14"/>
  <c r="AI34" i="14"/>
  <c r="AA34" i="14"/>
  <c r="AI58" i="14"/>
  <c r="AA58" i="14"/>
  <c r="AI57" i="14"/>
  <c r="AA57" i="14"/>
  <c r="AI56" i="14"/>
  <c r="AA56" i="14"/>
  <c r="AI51" i="14"/>
  <c r="AA51" i="14"/>
  <c r="AI55" i="14"/>
  <c r="AA55" i="14"/>
  <c r="AI54" i="14"/>
  <c r="AA54" i="14"/>
  <c r="AI53" i="14"/>
  <c r="AA53" i="14"/>
  <c r="AI52" i="14"/>
  <c r="AA52" i="14"/>
  <c r="AI105" i="14"/>
  <c r="AA105"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69" i="14"/>
  <c r="AA69" i="14"/>
  <c r="AI68" i="14"/>
  <c r="AA68" i="14"/>
  <c r="AI67" i="14"/>
  <c r="AA67" i="14"/>
  <c r="AI66" i="14"/>
  <c r="AA66" i="14"/>
  <c r="AI65" i="14"/>
  <c r="AA65" i="14"/>
  <c r="AI64" i="14"/>
  <c r="AA64" i="14"/>
  <c r="AI63" i="14"/>
  <c r="AA63" i="14"/>
  <c r="AI62" i="14"/>
  <c r="AA62" i="14"/>
  <c r="AI41" i="14"/>
  <c r="AA41" i="14"/>
  <c r="AI50" i="14"/>
  <c r="AA50" i="14"/>
  <c r="AI73" i="14"/>
  <c r="AA73" i="14"/>
  <c r="AI49" i="14"/>
  <c r="AA49" i="14"/>
  <c r="AI48" i="14"/>
  <c r="AA48" i="14"/>
  <c r="AI13" i="14"/>
  <c r="AI47" i="14"/>
  <c r="AA47" i="14"/>
  <c r="AI33" i="14"/>
  <c r="AI46" i="14"/>
  <c r="AA46" i="14"/>
  <c r="AI45" i="14"/>
  <c r="AA45" i="14"/>
  <c r="AI42" i="14"/>
  <c r="AA42" i="14"/>
  <c r="AI44" i="14"/>
  <c r="AA44" i="14"/>
  <c r="AI43" i="14"/>
  <c r="AA43" i="14"/>
  <c r="AI21" i="14"/>
  <c r="AA21" i="14"/>
  <c r="AI93" i="14"/>
  <c r="AA93"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A31" i="14"/>
  <c r="Z25" i="35"/>
  <c r="Y10" i="35"/>
  <c r="AA8" i="35"/>
  <c r="C3" i="70"/>
  <c r="C2" i="70" s="1"/>
  <c r="AA8" i="72"/>
  <c r="AA7" i="72"/>
  <c r="AA5" i="72"/>
  <c r="O12" i="62"/>
  <c r="AA11" i="72"/>
  <c r="AA10" i="72"/>
  <c r="Z5" i="72"/>
  <c r="Z7" i="72"/>
  <c r="P41" i="74"/>
  <c r="P42" i="74"/>
  <c r="O40" i="74"/>
  <c r="P40" i="74"/>
  <c r="P39" i="74"/>
  <c r="O38" i="74"/>
  <c r="P37" i="74"/>
  <c r="P38" i="74"/>
  <c r="O41" i="74"/>
  <c r="O39" i="74"/>
  <c r="O37" i="74"/>
  <c r="O36" i="74"/>
  <c r="P36" i="74"/>
  <c r="P35" i="74"/>
  <c r="O35" i="74"/>
  <c r="AF7" i="20" l="1"/>
  <c r="AK7" i="20"/>
  <c r="AO7" i="20"/>
  <c r="AS7" i="20"/>
  <c r="AH7" i="20"/>
  <c r="AL7" i="20"/>
  <c r="AP7" i="20"/>
  <c r="AE7" i="20"/>
  <c r="AJ7" i="20"/>
  <c r="AN7" i="20"/>
  <c r="AR7" i="20"/>
  <c r="AD7" i="20"/>
  <c r="AI7" i="20"/>
  <c r="AM7" i="20"/>
  <c r="AQ7" i="20"/>
  <c r="AH6" i="20"/>
  <c r="AL6" i="20"/>
  <c r="AP6" i="20"/>
  <c r="AD6" i="20"/>
  <c r="AI6" i="20"/>
  <c r="AM6" i="20"/>
  <c r="AQ6" i="20"/>
  <c r="AE6" i="20"/>
  <c r="AJ6" i="20"/>
  <c r="AN6" i="20"/>
  <c r="AR6" i="20"/>
  <c r="AF6" i="20"/>
  <c r="AK6" i="20"/>
  <c r="AO6" i="20"/>
  <c r="AS6" i="20"/>
  <c r="AJ14" i="14"/>
  <c r="AJ15" i="14"/>
  <c r="AF10" i="20"/>
  <c r="AK10" i="20"/>
  <c r="AO10" i="20"/>
  <c r="AS10" i="20"/>
  <c r="AE10" i="20"/>
  <c r="AJ10" i="20"/>
  <c r="AN10" i="20"/>
  <c r="AR10" i="20"/>
  <c r="AH10" i="20"/>
  <c r="AL10" i="20"/>
  <c r="AP10" i="20"/>
  <c r="AD10" i="20"/>
  <c r="AI10" i="20"/>
  <c r="AM10" i="20"/>
  <c r="AQ10" i="20"/>
  <c r="AH9" i="20"/>
  <c r="AL9" i="20"/>
  <c r="AP9" i="20"/>
  <c r="AE9" i="20"/>
  <c r="AJ9" i="20"/>
  <c r="AN9" i="20"/>
  <c r="AR9" i="20"/>
  <c r="AF9" i="20"/>
  <c r="AK9" i="20"/>
  <c r="AO9" i="20"/>
  <c r="AS9" i="20"/>
  <c r="AD9" i="20"/>
  <c r="AI9" i="20"/>
  <c r="AM9" i="20"/>
  <c r="AQ9" i="20"/>
  <c r="AF8" i="20"/>
  <c r="AK8" i="20"/>
  <c r="AO8" i="20"/>
  <c r="AS8" i="20"/>
  <c r="AH8" i="20"/>
  <c r="AL8" i="20"/>
  <c r="AP8" i="20"/>
  <c r="AE8" i="20"/>
  <c r="AN8" i="20"/>
  <c r="AD8" i="20"/>
  <c r="AI8" i="20"/>
  <c r="AM8" i="20"/>
  <c r="AQ8" i="20"/>
  <c r="AJ8" i="20"/>
  <c r="AR8" i="20"/>
  <c r="AD11" i="20"/>
  <c r="AI11" i="20"/>
  <c r="AM11" i="20"/>
  <c r="AQ11" i="20"/>
  <c r="AE11" i="20"/>
  <c r="AJ11" i="20"/>
  <c r="AN11" i="20"/>
  <c r="AR11" i="20"/>
  <c r="AF11" i="20"/>
  <c r="AK11" i="20"/>
  <c r="AO11" i="20"/>
  <c r="AS11" i="20"/>
  <c r="AH11" i="20"/>
  <c r="AL11" i="20"/>
  <c r="AP11" i="20"/>
  <c r="AI575" i="20"/>
  <c r="AN575" i="20"/>
  <c r="AS575" i="20"/>
  <c r="AD575" i="20"/>
  <c r="AJ575" i="20"/>
  <c r="AO575" i="20"/>
  <c r="AE575" i="20"/>
  <c r="AK575" i="20"/>
  <c r="AQ575" i="20"/>
  <c r="AF575" i="20"/>
  <c r="AM575" i="20"/>
  <c r="AR575" i="20"/>
  <c r="AP575" i="20"/>
  <c r="AH575" i="20"/>
  <c r="AL575" i="20"/>
  <c r="K21" i="40"/>
  <c r="Z9" i="72" s="1"/>
  <c r="AG22"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314" i="20"/>
  <c r="AG318" i="20"/>
  <c r="AG322" i="20"/>
  <c r="AG326" i="20"/>
  <c r="AG330" i="20"/>
  <c r="AG334" i="20"/>
  <c r="AG338" i="20"/>
  <c r="AG342" i="20"/>
  <c r="AG346" i="20"/>
  <c r="AG350" i="20"/>
  <c r="AG354" i="20"/>
  <c r="AG358" i="20"/>
  <c r="AG23" i="20"/>
  <c r="AG27" i="20"/>
  <c r="AG31" i="20"/>
  <c r="AG35" i="20"/>
  <c r="AG39" i="20"/>
  <c r="AG43" i="20"/>
  <c r="AG47" i="20"/>
  <c r="AG51" i="20"/>
  <c r="AG55" i="20"/>
  <c r="AG59" i="20"/>
  <c r="AG63" i="20"/>
  <c r="AG67" i="20"/>
  <c r="AG71" i="20"/>
  <c r="AG75" i="20"/>
  <c r="AG79" i="20"/>
  <c r="AG83" i="20"/>
  <c r="AG87" i="20"/>
  <c r="AG91" i="20"/>
  <c r="AG95" i="20"/>
  <c r="AG99" i="20"/>
  <c r="AG103" i="20"/>
  <c r="AG107" i="20"/>
  <c r="AG111" i="20"/>
  <c r="AG115" i="20"/>
  <c r="AG119" i="20"/>
  <c r="AG123" i="20"/>
  <c r="AG127" i="20"/>
  <c r="AG131" i="20"/>
  <c r="AG135" i="20"/>
  <c r="AG139" i="20"/>
  <c r="AG143" i="20"/>
  <c r="AG147" i="20"/>
  <c r="AG151" i="20"/>
  <c r="AG155" i="20"/>
  <c r="AG159" i="20"/>
  <c r="AG163" i="20"/>
  <c r="AG167" i="20"/>
  <c r="AG171" i="20"/>
  <c r="AG175" i="20"/>
  <c r="AG179" i="20"/>
  <c r="AG183" i="20"/>
  <c r="AG187" i="20"/>
  <c r="AG191" i="20"/>
  <c r="AG195" i="20"/>
  <c r="AG199" i="20"/>
  <c r="AG203" i="20"/>
  <c r="AG207" i="20"/>
  <c r="AG211" i="20"/>
  <c r="AG215" i="20"/>
  <c r="AG219" i="20"/>
  <c r="AG223" i="20"/>
  <c r="AG227" i="20"/>
  <c r="AG231" i="20"/>
  <c r="AG235" i="20"/>
  <c r="AG239" i="20"/>
  <c r="AG243" i="20"/>
  <c r="AG247" i="20"/>
  <c r="AG251" i="20"/>
  <c r="AG255" i="20"/>
  <c r="AG259" i="20"/>
  <c r="AG263" i="20"/>
  <c r="AG267" i="20"/>
  <c r="AG271" i="20"/>
  <c r="AG275" i="20"/>
  <c r="AG279" i="20"/>
  <c r="AG283" i="20"/>
  <c r="AG287" i="20"/>
  <c r="AG291" i="20"/>
  <c r="AG295" i="20"/>
  <c r="AG299" i="20"/>
  <c r="AG303" i="20"/>
  <c r="AG307" i="20"/>
  <c r="AG311" i="20"/>
  <c r="AG315" i="20"/>
  <c r="AG24" i="20"/>
  <c r="AG28" i="20"/>
  <c r="AG32" i="20"/>
  <c r="AG36" i="20"/>
  <c r="AG40" i="20"/>
  <c r="AG44"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25" i="20"/>
  <c r="AG41" i="20"/>
  <c r="AG57" i="20"/>
  <c r="AG73" i="20"/>
  <c r="AG89" i="20"/>
  <c r="AG105" i="20"/>
  <c r="AG121" i="20"/>
  <c r="AG137" i="20"/>
  <c r="AG153" i="20"/>
  <c r="AG169" i="20"/>
  <c r="AG185" i="20"/>
  <c r="AG201" i="20"/>
  <c r="AG217" i="20"/>
  <c r="AG233" i="20"/>
  <c r="AG249" i="20"/>
  <c r="AG265" i="20"/>
  <c r="AG281" i="20"/>
  <c r="AG297" i="20"/>
  <c r="AG313" i="20"/>
  <c r="AG323" i="20"/>
  <c r="AG331" i="20"/>
  <c r="AG336" i="20"/>
  <c r="AG341" i="20"/>
  <c r="AG347" i="20"/>
  <c r="AG352" i="20"/>
  <c r="AG357" i="20"/>
  <c r="AG362" i="20"/>
  <c r="AG366" i="20"/>
  <c r="AG370" i="20"/>
  <c r="AG374" i="20"/>
  <c r="AG378" i="20"/>
  <c r="AG382" i="20"/>
  <c r="AG386" i="20"/>
  <c r="AG390" i="20"/>
  <c r="AG394" i="20"/>
  <c r="AG398" i="20"/>
  <c r="AG402"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16" i="20"/>
  <c r="AG20" i="20"/>
  <c r="AG29" i="20"/>
  <c r="AG45" i="20"/>
  <c r="AG61" i="20"/>
  <c r="AG77" i="20"/>
  <c r="AG93" i="20"/>
  <c r="AG109" i="20"/>
  <c r="AG125" i="20"/>
  <c r="AG141" i="20"/>
  <c r="AG157" i="20"/>
  <c r="AG173" i="20"/>
  <c r="AG189" i="20"/>
  <c r="AG205" i="20"/>
  <c r="AG221" i="20"/>
  <c r="AG237" i="20"/>
  <c r="AG253" i="20"/>
  <c r="AG269" i="20"/>
  <c r="AG285" i="20"/>
  <c r="AG301" i="20"/>
  <c r="AG317" i="20"/>
  <c r="AG325" i="20"/>
  <c r="AG332" i="20"/>
  <c r="AG337" i="20"/>
  <c r="AG343" i="20"/>
  <c r="AG348" i="20"/>
  <c r="AG353" i="20"/>
  <c r="AG359" i="20"/>
  <c r="AG363" i="20"/>
  <c r="AG367" i="20"/>
  <c r="AG371" i="20"/>
  <c r="AG375" i="20"/>
  <c r="AG379" i="20"/>
  <c r="AG383" i="20"/>
  <c r="AG387" i="20"/>
  <c r="AG391" i="20"/>
  <c r="AG395" i="20"/>
  <c r="AG399" i="20"/>
  <c r="AG403" i="20"/>
  <c r="AG407" i="20"/>
  <c r="AG411" i="20"/>
  <c r="AG415" i="20"/>
  <c r="AG419" i="20"/>
  <c r="AG423" i="20"/>
  <c r="AG427" i="20"/>
  <c r="AG431" i="20"/>
  <c r="AG435" i="20"/>
  <c r="AG439" i="20"/>
  <c r="AG443" i="20"/>
  <c r="AG447" i="20"/>
  <c r="AG451" i="20"/>
  <c r="AG455" i="20"/>
  <c r="AG459" i="20"/>
  <c r="AG463" i="20"/>
  <c r="AG467" i="20"/>
  <c r="AG471" i="20"/>
  <c r="AG475" i="20"/>
  <c r="AG479" i="20"/>
  <c r="AG483" i="20"/>
  <c r="AG487" i="20"/>
  <c r="AG491" i="20"/>
  <c r="AG495" i="20"/>
  <c r="AG499" i="20"/>
  <c r="AG503" i="20"/>
  <c r="AG507" i="20"/>
  <c r="AG511" i="20"/>
  <c r="AG515" i="20"/>
  <c r="AG519" i="20"/>
  <c r="AG523" i="20"/>
  <c r="AG527" i="20"/>
  <c r="AG531" i="20"/>
  <c r="AG535" i="20"/>
  <c r="AG539" i="20"/>
  <c r="AG543" i="20"/>
  <c r="AG547" i="20"/>
  <c r="AG551" i="20"/>
  <c r="AG555" i="20"/>
  <c r="AG559" i="20"/>
  <c r="AG563" i="20"/>
  <c r="AG567" i="20"/>
  <c r="AG571" i="20"/>
  <c r="AG575" i="20"/>
  <c r="AG17" i="20"/>
  <c r="AG13" i="20"/>
  <c r="AG33" i="20"/>
  <c r="AG49" i="20"/>
  <c r="AG65" i="20"/>
  <c r="AG81" i="20"/>
  <c r="AG97" i="20"/>
  <c r="AG113" i="20"/>
  <c r="AG129" i="20"/>
  <c r="AG145" i="20"/>
  <c r="AG161" i="20"/>
  <c r="AG177" i="20"/>
  <c r="AG193" i="20"/>
  <c r="AG209" i="20"/>
  <c r="AG225" i="20"/>
  <c r="AG241" i="20"/>
  <c r="AG257" i="20"/>
  <c r="AG273" i="20"/>
  <c r="AG289" i="20"/>
  <c r="AG305" i="20"/>
  <c r="AG319" i="20"/>
  <c r="AG327" i="20"/>
  <c r="AG333" i="20"/>
  <c r="AG339" i="20"/>
  <c r="AG344" i="20"/>
  <c r="AG349" i="20"/>
  <c r="AG355" i="20"/>
  <c r="AG360" i="20"/>
  <c r="AG364" i="20"/>
  <c r="AG368" i="20"/>
  <c r="AG372" i="20"/>
  <c r="AG376" i="20"/>
  <c r="AG380" i="20"/>
  <c r="AG384" i="20"/>
  <c r="AG388" i="20"/>
  <c r="AG392" i="20"/>
  <c r="AG396" i="20"/>
  <c r="AG400" i="20"/>
  <c r="AG404" i="20"/>
  <c r="AG408" i="20"/>
  <c r="AG412" i="20"/>
  <c r="AG416" i="20"/>
  <c r="AG420" i="20"/>
  <c r="AG424" i="20"/>
  <c r="AG428" i="20"/>
  <c r="AG432" i="20"/>
  <c r="AG436"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G532" i="20"/>
  <c r="AG536" i="20"/>
  <c r="AG540" i="20"/>
  <c r="AG544" i="20"/>
  <c r="AG548" i="20"/>
  <c r="AG552" i="20"/>
  <c r="AG556" i="20"/>
  <c r="AG560" i="20"/>
  <c r="AG564" i="20"/>
  <c r="AG568" i="20"/>
  <c r="AG572" i="20"/>
  <c r="AG14" i="20"/>
  <c r="AG18" i="20"/>
  <c r="AG21" i="20"/>
  <c r="AG37" i="20"/>
  <c r="AG53" i="20"/>
  <c r="AG69" i="20"/>
  <c r="AG165" i="20"/>
  <c r="AG335" i="20"/>
  <c r="AG389" i="20"/>
  <c r="AG421" i="20"/>
  <c r="AG437" i="20"/>
  <c r="AG453" i="20"/>
  <c r="AG469" i="20"/>
  <c r="AG501" i="20"/>
  <c r="AG549" i="20"/>
  <c r="AG117" i="20"/>
  <c r="AG181" i="20"/>
  <c r="AG245" i="20"/>
  <c r="AG309" i="20"/>
  <c r="AG340" i="20"/>
  <c r="AG361" i="20"/>
  <c r="AG377" i="20"/>
  <c r="AG393" i="20"/>
  <c r="AG409" i="20"/>
  <c r="AG425" i="20"/>
  <c r="AG441" i="20"/>
  <c r="AG457" i="20"/>
  <c r="AG473" i="20"/>
  <c r="AG489" i="20"/>
  <c r="AG505" i="20"/>
  <c r="AG521" i="20"/>
  <c r="AG537" i="20"/>
  <c r="AG553" i="20"/>
  <c r="AG569" i="20"/>
  <c r="AG149" i="20"/>
  <c r="AG213" i="20"/>
  <c r="AG351" i="20"/>
  <c r="AG385" i="20"/>
  <c r="AG417" i="20"/>
  <c r="AG449" i="20"/>
  <c r="AG481" i="20"/>
  <c r="AG513" i="20"/>
  <c r="AG545" i="20"/>
  <c r="AG15" i="20"/>
  <c r="AG101" i="20"/>
  <c r="AG229" i="20"/>
  <c r="AG293" i="20"/>
  <c r="AG356" i="20"/>
  <c r="AG373" i="20"/>
  <c r="AG405" i="20"/>
  <c r="AG485" i="20"/>
  <c r="AG517" i="20"/>
  <c r="AG533" i="20"/>
  <c r="AG565" i="20"/>
  <c r="AG19" i="20"/>
  <c r="AG133" i="20"/>
  <c r="AG197" i="20"/>
  <c r="AG261" i="20"/>
  <c r="AG321" i="20"/>
  <c r="AG345" i="20"/>
  <c r="AG365" i="20"/>
  <c r="AG381" i="20"/>
  <c r="AG397" i="20"/>
  <c r="AG413" i="20"/>
  <c r="AG429" i="20"/>
  <c r="AG445" i="20"/>
  <c r="AG461" i="20"/>
  <c r="AG477" i="20"/>
  <c r="AG493" i="20"/>
  <c r="AG509" i="20"/>
  <c r="AG525" i="20"/>
  <c r="AG541" i="20"/>
  <c r="AG557" i="20"/>
  <c r="AG573" i="20"/>
  <c r="AG85" i="20"/>
  <c r="AG277" i="20"/>
  <c r="AG329" i="20"/>
  <c r="AG369" i="20"/>
  <c r="AG401" i="20"/>
  <c r="AG433" i="20"/>
  <c r="AG465" i="20"/>
  <c r="AG497" i="20"/>
  <c r="AG529" i="20"/>
  <c r="AG561" i="20"/>
  <c r="AF13" i="20"/>
  <c r="AK13" i="20"/>
  <c r="AO13" i="20"/>
  <c r="AS13" i="20"/>
  <c r="AD13" i="20"/>
  <c r="AI13" i="20"/>
  <c r="AM13" i="20"/>
  <c r="AQ13" i="20"/>
  <c r="AH13" i="20"/>
  <c r="AL13" i="20"/>
  <c r="AP13" i="20"/>
  <c r="AE13" i="20"/>
  <c r="AJ13" i="20"/>
  <c r="AN13" i="20"/>
  <c r="AR13" i="20"/>
  <c r="AH19" i="20"/>
  <c r="AL19" i="20"/>
  <c r="AP19" i="20"/>
  <c r="AE19" i="20"/>
  <c r="AJ19" i="20"/>
  <c r="AN19" i="20"/>
  <c r="AR19" i="20"/>
  <c r="AF19" i="20"/>
  <c r="AK19" i="20"/>
  <c r="AO19" i="20"/>
  <c r="AS19" i="20"/>
  <c r="AD19" i="20"/>
  <c r="AI19" i="20"/>
  <c r="AM19" i="20"/>
  <c r="AQ19" i="20"/>
  <c r="AF12" i="20"/>
  <c r="AG12" i="20"/>
  <c r="AI294" i="20"/>
  <c r="AD270" i="20"/>
  <c r="AM254" i="20"/>
  <c r="AS191" i="20"/>
  <c r="AD187" i="20"/>
  <c r="AM146" i="20"/>
  <c r="AK121" i="20"/>
  <c r="AN97" i="20"/>
  <c r="AN95" i="20"/>
  <c r="AO301" i="20"/>
  <c r="AO21" i="20"/>
  <c r="AO298" i="20"/>
  <c r="AO254" i="20"/>
  <c r="AO297" i="20"/>
  <c r="AO269" i="20"/>
  <c r="AO192" i="20"/>
  <c r="AO23" i="20"/>
  <c r="AO294" i="20"/>
  <c r="AO268" i="20"/>
  <c r="AO188" i="20"/>
  <c r="AO24" i="20"/>
  <c r="AO293" i="20"/>
  <c r="AO255" i="20"/>
  <c r="AO186" i="20"/>
  <c r="AO25" i="20"/>
  <c r="AO270" i="20"/>
  <c r="AO22" i="20"/>
  <c r="AD12" i="20"/>
  <c r="AI12" i="20"/>
  <c r="AM12" i="20"/>
  <c r="AQ12" i="20"/>
  <c r="AE12" i="20"/>
  <c r="AJ12" i="20"/>
  <c r="AN12" i="20"/>
  <c r="AR12" i="20"/>
  <c r="AK12" i="20"/>
  <c r="AO12" i="20"/>
  <c r="AS12" i="20"/>
  <c r="AH12" i="20"/>
  <c r="AL12" i="20"/>
  <c r="AP12" i="20"/>
  <c r="I22" i="36"/>
  <c r="J22" i="36"/>
  <c r="Y95" i="19"/>
  <c r="I15" i="36"/>
  <c r="AD15" i="20"/>
  <c r="AI15" i="20"/>
  <c r="AM15" i="20"/>
  <c r="AQ15" i="20"/>
  <c r="AE15" i="20"/>
  <c r="AJ15" i="20"/>
  <c r="AN15" i="20"/>
  <c r="AR15" i="20"/>
  <c r="AF15" i="20"/>
  <c r="AK15" i="20"/>
  <c r="AO15" i="20"/>
  <c r="AS15" i="20"/>
  <c r="AH15" i="20"/>
  <c r="AL15" i="20"/>
  <c r="AP15" i="20"/>
  <c r="AF17" i="20"/>
  <c r="AK17" i="20"/>
  <c r="AO17" i="20"/>
  <c r="AS17" i="20"/>
  <c r="AH17" i="20"/>
  <c r="AL17" i="20"/>
  <c r="AP17" i="20"/>
  <c r="AD17" i="20"/>
  <c r="AI17" i="20"/>
  <c r="AM17" i="20"/>
  <c r="AQ17" i="20"/>
  <c r="AE17" i="20"/>
  <c r="AJ17" i="20"/>
  <c r="AN17" i="20"/>
  <c r="AR17" i="20"/>
  <c r="AF16" i="20"/>
  <c r="AK16" i="20"/>
  <c r="AO16" i="20"/>
  <c r="AS16" i="20"/>
  <c r="AN16" i="20"/>
  <c r="AH16" i="20"/>
  <c r="AL16" i="20"/>
  <c r="AP16" i="20"/>
  <c r="AD16" i="20"/>
  <c r="AI16" i="20"/>
  <c r="AM16" i="20"/>
  <c r="AQ16" i="20"/>
  <c r="AE16" i="20"/>
  <c r="AJ16" i="20"/>
  <c r="AR16" i="20"/>
  <c r="AE14" i="20"/>
  <c r="AJ14" i="20"/>
  <c r="AN14" i="20"/>
  <c r="AR14" i="20"/>
  <c r="AF14" i="20"/>
  <c r="AK14" i="20"/>
  <c r="AO14" i="20"/>
  <c r="AS14" i="20"/>
  <c r="AH14" i="20"/>
  <c r="AL14" i="20"/>
  <c r="AP14" i="20"/>
  <c r="AD14" i="20"/>
  <c r="AI14" i="20"/>
  <c r="AM14" i="20"/>
  <c r="AQ14" i="20"/>
  <c r="AH18" i="20"/>
  <c r="AI18" i="20"/>
  <c r="AL392" i="20"/>
  <c r="AN63" i="20"/>
  <c r="AS20" i="20"/>
  <c r="AS24" i="20"/>
  <c r="AS28" i="20"/>
  <c r="AS32" i="20"/>
  <c r="AS36" i="20"/>
  <c r="AS40" i="20"/>
  <c r="AS44" i="20"/>
  <c r="AS48" i="20"/>
  <c r="AS52" i="20"/>
  <c r="AS56" i="20"/>
  <c r="AS60" i="20"/>
  <c r="AS31" i="20"/>
  <c r="AS51" i="20"/>
  <c r="AK18" i="20"/>
  <c r="AS21" i="20"/>
  <c r="AS25" i="20"/>
  <c r="AS29" i="20"/>
  <c r="AS33" i="20"/>
  <c r="AS37" i="20"/>
  <c r="AS41" i="20"/>
  <c r="AS45" i="20"/>
  <c r="AS49" i="20"/>
  <c r="AS53" i="20"/>
  <c r="AS57" i="20"/>
  <c r="AS61" i="20"/>
  <c r="AO18" i="20"/>
  <c r="AS22" i="20"/>
  <c r="AS26" i="20"/>
  <c r="AS30" i="20"/>
  <c r="AS34" i="20"/>
  <c r="AS38" i="20"/>
  <c r="AS42" i="20"/>
  <c r="AS46" i="20"/>
  <c r="AS50" i="20"/>
  <c r="AS54" i="20"/>
  <c r="AS58" i="20"/>
  <c r="AS62" i="20"/>
  <c r="AS18" i="20"/>
  <c r="AS23" i="20"/>
  <c r="AS27" i="20"/>
  <c r="AS35" i="20"/>
  <c r="AS39" i="20"/>
  <c r="AS43" i="20"/>
  <c r="AS47" i="20"/>
  <c r="AS55" i="20"/>
  <c r="AS59" i="20"/>
  <c r="AF496" i="20"/>
  <c r="AK484" i="20"/>
  <c r="AD436" i="20"/>
  <c r="AJ408" i="20"/>
  <c r="AR228" i="20"/>
  <c r="AI224" i="20"/>
  <c r="AN55" i="20"/>
  <c r="AD224" i="20"/>
  <c r="AJ268" i="20"/>
  <c r="AN236" i="20"/>
  <c r="AQ392" i="20"/>
  <c r="AF26" i="20"/>
  <c r="AK26" i="20"/>
  <c r="AO26" i="20"/>
  <c r="AH26" i="20"/>
  <c r="AL26" i="20"/>
  <c r="AP26" i="20"/>
  <c r="AD26" i="20"/>
  <c r="AI26" i="20"/>
  <c r="AM26" i="20"/>
  <c r="AQ26" i="20"/>
  <c r="AE26" i="20"/>
  <c r="AJ26" i="20"/>
  <c r="AN26" i="20"/>
  <c r="AR26" i="20"/>
  <c r="AF29" i="20"/>
  <c r="AK29" i="20"/>
  <c r="AO29" i="20"/>
  <c r="AI29" i="20"/>
  <c r="AQ29" i="20"/>
  <c r="AH29" i="20"/>
  <c r="AL29" i="20"/>
  <c r="AP29" i="20"/>
  <c r="AD29" i="20"/>
  <c r="AM29" i="20"/>
  <c r="AE29" i="20"/>
  <c r="AJ29" i="20"/>
  <c r="AN29" i="20"/>
  <c r="AR29" i="20"/>
  <c r="AN224" i="20"/>
  <c r="AD296" i="20"/>
  <c r="AJ484" i="20"/>
  <c r="AD272" i="20"/>
  <c r="AH21" i="20"/>
  <c r="AL21" i="20"/>
  <c r="AP21" i="20"/>
  <c r="AD21" i="20"/>
  <c r="AI21" i="20"/>
  <c r="AM21" i="20"/>
  <c r="AQ21" i="20"/>
  <c r="AE21" i="20"/>
  <c r="AJ21" i="20"/>
  <c r="AN21" i="20"/>
  <c r="AR21" i="20"/>
  <c r="AF21" i="20"/>
  <c r="AK21" i="20"/>
  <c r="AF20" i="20"/>
  <c r="AK20" i="20"/>
  <c r="AO20" i="20"/>
  <c r="AD20" i="20"/>
  <c r="AI20" i="20"/>
  <c r="AM20" i="20"/>
  <c r="AQ20" i="20"/>
  <c r="AH20" i="20"/>
  <c r="AL20" i="20"/>
  <c r="AP20" i="20"/>
  <c r="AE20" i="20"/>
  <c r="AJ20" i="20"/>
  <c r="AN20" i="20"/>
  <c r="AR20" i="20"/>
  <c r="AF18" i="20"/>
  <c r="AL18" i="20"/>
  <c r="AP18" i="20"/>
  <c r="AD18" i="20"/>
  <c r="AM18" i="20"/>
  <c r="AQ18" i="20"/>
  <c r="AE18" i="20"/>
  <c r="AJ18" i="20"/>
  <c r="AN18" i="20"/>
  <c r="AR18" i="20"/>
  <c r="AL111" i="20"/>
  <c r="AS236" i="20"/>
  <c r="AO296" i="20"/>
  <c r="AI400" i="20"/>
  <c r="AF492" i="20"/>
  <c r="AM130" i="20"/>
  <c r="AH22" i="20"/>
  <c r="AL22" i="20"/>
  <c r="AP22" i="20"/>
  <c r="AE22" i="20"/>
  <c r="AJ22" i="20"/>
  <c r="AN22" i="20"/>
  <c r="AR22" i="20"/>
  <c r="AF22" i="20"/>
  <c r="AK22" i="20"/>
  <c r="AD22" i="20"/>
  <c r="AI22" i="20"/>
  <c r="AM22" i="20"/>
  <c r="AQ22" i="20"/>
  <c r="AD23" i="20"/>
  <c r="AE23" i="20"/>
  <c r="AF23" i="20"/>
  <c r="AH23" i="20"/>
  <c r="AI23" i="20"/>
  <c r="AJ23" i="20"/>
  <c r="AK23" i="20"/>
  <c r="AL23" i="20"/>
  <c r="AM23" i="20"/>
  <c r="AN23" i="20"/>
  <c r="AP23" i="20"/>
  <c r="AQ23" i="20"/>
  <c r="AR23" i="20"/>
  <c r="AD24" i="20"/>
  <c r="AE24" i="20"/>
  <c r="AF24" i="20"/>
  <c r="AH24" i="20"/>
  <c r="AI24" i="20"/>
  <c r="AJ24" i="20"/>
  <c r="AK24" i="20"/>
  <c r="AL24" i="20"/>
  <c r="AM24" i="20"/>
  <c r="AN24" i="20"/>
  <c r="AP24" i="20"/>
  <c r="AQ24" i="20"/>
  <c r="AR24" i="20"/>
  <c r="AD25" i="20"/>
  <c r="AE25" i="20"/>
  <c r="AF25" i="20"/>
  <c r="AH25" i="20"/>
  <c r="AI25" i="20"/>
  <c r="AJ25" i="20"/>
  <c r="AK25" i="20"/>
  <c r="AL25" i="20"/>
  <c r="AM25" i="20"/>
  <c r="AN25" i="20"/>
  <c r="AP25" i="20"/>
  <c r="AQ25" i="20"/>
  <c r="AR25" i="20"/>
  <c r="AF28" i="20"/>
  <c r="AK28" i="20"/>
  <c r="AO28" i="20"/>
  <c r="AE28" i="20"/>
  <c r="AJ28" i="20"/>
  <c r="AN28" i="20"/>
  <c r="AR28" i="20"/>
  <c r="AH28" i="20"/>
  <c r="AL28" i="20"/>
  <c r="AP28" i="20"/>
  <c r="AD28" i="20"/>
  <c r="AI28" i="20"/>
  <c r="AM28" i="20"/>
  <c r="AQ28" i="20"/>
  <c r="AD30" i="20"/>
  <c r="AI30" i="20"/>
  <c r="AM30" i="20"/>
  <c r="AQ30" i="20"/>
  <c r="AE30" i="20"/>
  <c r="AJ30" i="20"/>
  <c r="AN30" i="20"/>
  <c r="AR30" i="20"/>
  <c r="AF30" i="20"/>
  <c r="AK30" i="20"/>
  <c r="AO30" i="20"/>
  <c r="AH30" i="20"/>
  <c r="AL30" i="20"/>
  <c r="AP30" i="20"/>
  <c r="AH27" i="20"/>
  <c r="AL27" i="20"/>
  <c r="AP27" i="20"/>
  <c r="AD27" i="20"/>
  <c r="AI27" i="20"/>
  <c r="AM27" i="20"/>
  <c r="AQ27" i="20"/>
  <c r="AE27" i="20"/>
  <c r="AJ27" i="20"/>
  <c r="AN27" i="20"/>
  <c r="AR27" i="20"/>
  <c r="AF27" i="20"/>
  <c r="AK27" i="20"/>
  <c r="AO27" i="20"/>
  <c r="AF32" i="20"/>
  <c r="AK32" i="20"/>
  <c r="AO32" i="20"/>
  <c r="AD32" i="20"/>
  <c r="AI32" i="20"/>
  <c r="AM32" i="20"/>
  <c r="AQ32" i="20"/>
  <c r="AE32" i="20"/>
  <c r="AJ32" i="20"/>
  <c r="AN32" i="20"/>
  <c r="AR32" i="20"/>
  <c r="AH32" i="20"/>
  <c r="AL32" i="20"/>
  <c r="AP32" i="20"/>
  <c r="AN560" i="20"/>
  <c r="AF33" i="20"/>
  <c r="AK33" i="20"/>
  <c r="AO33" i="20"/>
  <c r="AH33" i="20"/>
  <c r="AL33" i="20"/>
  <c r="AP33" i="20"/>
  <c r="AD33" i="20"/>
  <c r="AI33" i="20"/>
  <c r="AM33" i="20"/>
  <c r="AQ33" i="20"/>
  <c r="AE33" i="20"/>
  <c r="AJ33" i="20"/>
  <c r="AN33" i="20"/>
  <c r="AR33" i="20"/>
  <c r="AF31" i="20"/>
  <c r="AK31" i="20"/>
  <c r="AO31" i="20"/>
  <c r="AH31" i="20"/>
  <c r="AL31" i="20"/>
  <c r="AP31" i="20"/>
  <c r="AD31" i="20"/>
  <c r="AI31" i="20"/>
  <c r="AM31" i="20"/>
  <c r="AQ31" i="20"/>
  <c r="AE31" i="20"/>
  <c r="AJ31" i="20"/>
  <c r="AN31" i="20"/>
  <c r="AR31" i="20"/>
  <c r="AO280" i="20"/>
  <c r="AD240" i="20"/>
  <c r="AP123" i="20"/>
  <c r="AD284" i="20"/>
  <c r="AK328" i="20"/>
  <c r="AN552" i="20"/>
  <c r="AQ460" i="20"/>
  <c r="AN436" i="20"/>
  <c r="AK83" i="20"/>
  <c r="AM160" i="20"/>
  <c r="AK276" i="20"/>
  <c r="AD228" i="20"/>
  <c r="AJ123" i="20"/>
  <c r="AK284" i="20"/>
  <c r="AI332" i="20"/>
  <c r="AD552" i="20"/>
  <c r="AM460" i="20"/>
  <c r="AQ560" i="20"/>
  <c r="AM240" i="20"/>
  <c r="AR107" i="20"/>
  <c r="AK185" i="20"/>
  <c r="AD36" i="20"/>
  <c r="AF34" i="20"/>
  <c r="AH35" i="20"/>
  <c r="AI36" i="20"/>
  <c r="AK34" i="20"/>
  <c r="AL35" i="20"/>
  <c r="AM36" i="20"/>
  <c r="AO34" i="20"/>
  <c r="AP35" i="20"/>
  <c r="AQ36" i="20"/>
  <c r="AE34" i="20"/>
  <c r="AJ34" i="20"/>
  <c r="AL36" i="20"/>
  <c r="AN34" i="20"/>
  <c r="AR34" i="20"/>
  <c r="AD34" i="20"/>
  <c r="AE35" i="20"/>
  <c r="AF36" i="20"/>
  <c r="AI34" i="20"/>
  <c r="AJ35" i="20"/>
  <c r="AK36" i="20"/>
  <c r="AM34" i="20"/>
  <c r="AN35" i="20"/>
  <c r="AO36" i="20"/>
  <c r="AQ34" i="20"/>
  <c r="AR35" i="20"/>
  <c r="AD35" i="20"/>
  <c r="AE36" i="20"/>
  <c r="AH34" i="20"/>
  <c r="AI35" i="20"/>
  <c r="AJ36" i="20"/>
  <c r="AL34" i="20"/>
  <c r="AM35" i="20"/>
  <c r="AN36" i="20"/>
  <c r="AP34" i="20"/>
  <c r="AQ35" i="20"/>
  <c r="AR36" i="20"/>
  <c r="AF35" i="20"/>
  <c r="AH36" i="20"/>
  <c r="AK35" i="20"/>
  <c r="AO35" i="20"/>
  <c r="AP36" i="20"/>
  <c r="AM344" i="20"/>
  <c r="AD39" i="20"/>
  <c r="AI39" i="20"/>
  <c r="AM39" i="20"/>
  <c r="AQ39" i="20"/>
  <c r="AE39" i="20"/>
  <c r="AJ39" i="20"/>
  <c r="AN39" i="20"/>
  <c r="AR39" i="20"/>
  <c r="AF39" i="20"/>
  <c r="AK39" i="20"/>
  <c r="AO39" i="20"/>
  <c r="AH39" i="20"/>
  <c r="AL39" i="20"/>
  <c r="AP39" i="20"/>
  <c r="AK63" i="20"/>
  <c r="AL240" i="20"/>
  <c r="AJ212" i="20"/>
  <c r="AJ288" i="20"/>
  <c r="AD464" i="20"/>
  <c r="AJ472" i="20"/>
  <c r="AS508" i="20"/>
  <c r="AF173" i="20"/>
  <c r="AF38" i="20"/>
  <c r="AK38" i="20"/>
  <c r="AO38" i="20"/>
  <c r="AH38" i="20"/>
  <c r="AL38" i="20"/>
  <c r="AP38" i="20"/>
  <c r="AD38" i="20"/>
  <c r="AI38" i="20"/>
  <c r="AM38" i="20"/>
  <c r="AQ38" i="20"/>
  <c r="AE38" i="20"/>
  <c r="AJ38" i="20"/>
  <c r="AN38" i="20"/>
  <c r="AR38" i="20"/>
  <c r="AI67" i="20"/>
  <c r="AL115" i="20"/>
  <c r="AI312" i="20"/>
  <c r="AN103" i="20"/>
  <c r="AM276" i="20"/>
  <c r="AJ304" i="20"/>
  <c r="AR340" i="20"/>
  <c r="AF544" i="20"/>
  <c r="AI448" i="20"/>
  <c r="AM536" i="20"/>
  <c r="AR572" i="20"/>
  <c r="AN288" i="20"/>
  <c r="AK524" i="20"/>
  <c r="AO388" i="20"/>
  <c r="AK164" i="20"/>
  <c r="AF67" i="20"/>
  <c r="AI63" i="20"/>
  <c r="AM336" i="20"/>
  <c r="AO236" i="20"/>
  <c r="AQ416" i="20"/>
  <c r="AJ103" i="20"/>
  <c r="AN212" i="20"/>
  <c r="AO276" i="20"/>
  <c r="AO292" i="20"/>
  <c r="AM308" i="20"/>
  <c r="AJ340" i="20"/>
  <c r="AQ464" i="20"/>
  <c r="AM396" i="20"/>
  <c r="AL448" i="20"/>
  <c r="AP472" i="20"/>
  <c r="AJ544" i="20"/>
  <c r="AK388" i="20"/>
  <c r="AL520" i="20"/>
  <c r="AQ308" i="20"/>
  <c r="AQ224" i="20"/>
  <c r="AL404" i="20"/>
  <c r="AD348" i="20"/>
  <c r="AM189" i="20"/>
  <c r="AS63" i="20"/>
  <c r="AD316" i="20"/>
  <c r="AL328" i="20"/>
  <c r="AJ127" i="20"/>
  <c r="AD276" i="20"/>
  <c r="AJ300" i="20"/>
  <c r="AS392" i="20"/>
  <c r="AR440" i="20"/>
  <c r="AN452" i="20"/>
  <c r="AS500" i="20"/>
  <c r="AI144" i="20"/>
  <c r="AD37" i="20"/>
  <c r="AI37" i="20"/>
  <c r="AM37" i="20"/>
  <c r="AQ37" i="20"/>
  <c r="AE37" i="20"/>
  <c r="AJ37" i="20"/>
  <c r="AN37" i="20"/>
  <c r="AR37" i="20"/>
  <c r="AF37" i="20"/>
  <c r="AK37" i="20"/>
  <c r="AO37" i="20"/>
  <c r="AH37" i="20"/>
  <c r="AL37" i="20"/>
  <c r="AP37" i="20"/>
  <c r="AS64" i="20"/>
  <c r="AL99" i="20"/>
  <c r="AI220" i="20"/>
  <c r="AI316" i="20"/>
  <c r="AP212" i="20"/>
  <c r="AK119" i="20"/>
  <c r="AD91" i="20"/>
  <c r="AJ115" i="20"/>
  <c r="AP216" i="20"/>
  <c r="AP228" i="20"/>
  <c r="AP284" i="20"/>
  <c r="AP292" i="20"/>
  <c r="AO312" i="20"/>
  <c r="AJ336" i="20"/>
  <c r="AR404" i="20"/>
  <c r="AD532" i="20"/>
  <c r="AI396" i="20"/>
  <c r="AF440" i="20"/>
  <c r="AM468" i="20"/>
  <c r="AI476" i="20"/>
  <c r="AM528" i="20"/>
  <c r="AR544" i="20"/>
  <c r="AR568" i="20"/>
  <c r="AJ264" i="20"/>
  <c r="AQ432" i="20"/>
  <c r="AF252" i="20"/>
  <c r="AR252" i="20"/>
  <c r="AP424" i="20"/>
  <c r="AI95" i="20"/>
  <c r="AS71" i="20"/>
  <c r="AJ368" i="20"/>
  <c r="AL372" i="20"/>
  <c r="AO197" i="20"/>
  <c r="AF220" i="20"/>
  <c r="AM87" i="20"/>
  <c r="AP63" i="20"/>
  <c r="AJ99" i="20"/>
  <c r="AJ372" i="20"/>
  <c r="AQ212" i="20"/>
  <c r="AR308" i="20"/>
  <c r="AS224" i="20"/>
  <c r="AN284" i="20"/>
  <c r="AD115" i="20"/>
  <c r="AS292" i="20"/>
  <c r="AI91" i="20"/>
  <c r="AP119" i="20"/>
  <c r="AM208" i="20"/>
  <c r="AJ220" i="20"/>
  <c r="AK232" i="20"/>
  <c r="AJ280" i="20"/>
  <c r="AI288" i="20"/>
  <c r="AI292" i="20"/>
  <c r="AP300" i="20"/>
  <c r="AO316" i="20"/>
  <c r="AP340" i="20"/>
  <c r="AF396" i="20"/>
  <c r="AN404" i="20"/>
  <c r="AP540" i="20"/>
  <c r="AM532" i="20"/>
  <c r="AS400" i="20"/>
  <c r="AD440" i="20"/>
  <c r="AQ452" i="20"/>
  <c r="AK468" i="20"/>
  <c r="AK476" i="20"/>
  <c r="AF536" i="20"/>
  <c r="AL548" i="20"/>
  <c r="AO568" i="20"/>
  <c r="AN504" i="20"/>
  <c r="AL508" i="20"/>
  <c r="AK324" i="20"/>
  <c r="AF424" i="20"/>
  <c r="AO264" i="20"/>
  <c r="AP428" i="20"/>
  <c r="AS75" i="20"/>
  <c r="AD79" i="20"/>
  <c r="AJ132" i="20"/>
  <c r="AM99" i="20"/>
  <c r="AF428" i="20"/>
  <c r="AS197" i="20"/>
  <c r="AI372" i="20"/>
  <c r="AP67" i="20"/>
  <c r="AR95" i="20"/>
  <c r="AI412" i="20"/>
  <c r="AK123" i="20"/>
  <c r="AR212" i="20"/>
  <c r="AL340" i="20"/>
  <c r="AD336" i="20"/>
  <c r="AJ91" i="20"/>
  <c r="AN115" i="20"/>
  <c r="AS208" i="20"/>
  <c r="AK228" i="20"/>
  <c r="AK280" i="20"/>
  <c r="AL292" i="20"/>
  <c r="AI300" i="20"/>
  <c r="AM324" i="20"/>
  <c r="AO416" i="20"/>
  <c r="AR392" i="20"/>
  <c r="AS540" i="20"/>
  <c r="AR468" i="20"/>
  <c r="AD408" i="20"/>
  <c r="AI452" i="20"/>
  <c r="AJ476" i="20"/>
  <c r="AR536" i="20"/>
  <c r="AM560" i="20"/>
  <c r="AR500" i="20"/>
  <c r="AO260" i="20"/>
  <c r="AJ236" i="20"/>
  <c r="AP248" i="20"/>
  <c r="AJ284" i="20"/>
  <c r="AJ95" i="20"/>
  <c r="AK252" i="20"/>
  <c r="AS368" i="20"/>
  <c r="AF400" i="20"/>
  <c r="AN228" i="20"/>
  <c r="AM224" i="20"/>
  <c r="AJ189" i="20"/>
  <c r="AM156" i="20"/>
  <c r="AS440" i="20"/>
  <c r="AP193" i="20"/>
  <c r="AL168" i="20"/>
  <c r="AP136" i="20"/>
  <c r="AI140" i="20"/>
  <c r="AO376" i="20"/>
  <c r="AR127" i="20"/>
  <c r="AM352" i="20"/>
  <c r="AI368" i="20"/>
  <c r="AK130" i="20"/>
  <c r="AJ229" i="20"/>
  <c r="AM368" i="20"/>
  <c r="AI208" i="20"/>
  <c r="AN369" i="20"/>
  <c r="AK95" i="20"/>
  <c r="AK71" i="20"/>
  <c r="AP83" i="20"/>
  <c r="AF95" i="20"/>
  <c r="AF71" i="20"/>
  <c r="AM424" i="20"/>
  <c r="AR524" i="20"/>
  <c r="AI428" i="20"/>
  <c r="AD416" i="20"/>
  <c r="AK272" i="20"/>
  <c r="AL268" i="20"/>
  <c r="AO256" i="20"/>
  <c r="AO248" i="20"/>
  <c r="AS248" i="20"/>
  <c r="AF208" i="20"/>
  <c r="AS119" i="20"/>
  <c r="AJ436" i="20"/>
  <c r="AD308" i="20"/>
  <c r="AQ428" i="20"/>
  <c r="AQ524" i="20"/>
  <c r="AK248" i="20"/>
  <c r="AQ500" i="20"/>
  <c r="AL260" i="20"/>
  <c r="AK91" i="20"/>
  <c r="AK496" i="20"/>
  <c r="AQ508" i="20"/>
  <c r="AK504" i="20"/>
  <c r="AO572" i="20"/>
  <c r="AP568" i="20"/>
  <c r="AS568" i="20"/>
  <c r="AR560" i="20"/>
  <c r="AI560" i="20"/>
  <c r="AI548" i="20"/>
  <c r="AP544" i="20"/>
  <c r="AK544" i="20"/>
  <c r="AS536" i="20"/>
  <c r="AN528" i="20"/>
  <c r="AN488" i="20"/>
  <c r="AD484" i="20"/>
  <c r="AO476" i="20"/>
  <c r="AP476" i="20"/>
  <c r="AD472" i="20"/>
  <c r="AF472" i="20"/>
  <c r="AP468" i="20"/>
  <c r="AL460" i="20"/>
  <c r="AO460" i="20"/>
  <c r="AR452" i="20"/>
  <c r="AO452" i="20"/>
  <c r="AK448" i="20"/>
  <c r="AI444" i="20"/>
  <c r="AQ440" i="20"/>
  <c r="AM408" i="20"/>
  <c r="AR408" i="20"/>
  <c r="AM400" i="20"/>
  <c r="AJ396" i="20"/>
  <c r="AR396" i="20"/>
  <c r="AR548" i="20"/>
  <c r="AF460" i="20"/>
  <c r="AP564" i="20"/>
  <c r="AI552" i="20"/>
  <c r="AJ540" i="20"/>
  <c r="AL532" i="20"/>
  <c r="AM464" i="20"/>
  <c r="AI464" i="20"/>
  <c r="AI404" i="20"/>
  <c r="AO392" i="20"/>
  <c r="AQ574" i="20"/>
  <c r="AR119" i="20"/>
  <c r="AQ197" i="20"/>
  <c r="AQ140" i="20"/>
  <c r="AS552" i="20"/>
  <c r="AP168" i="20"/>
  <c r="AD120" i="20"/>
  <c r="AS95" i="20"/>
  <c r="AN324" i="20"/>
  <c r="AS220" i="20"/>
  <c r="AD177" i="20"/>
  <c r="AF412" i="20"/>
  <c r="AQ276" i="20"/>
  <c r="AF404" i="20"/>
  <c r="AQ107" i="20"/>
  <c r="AF107" i="20"/>
  <c r="AN111" i="20"/>
  <c r="AM79" i="20"/>
  <c r="AL123" i="20"/>
  <c r="AI520" i="20"/>
  <c r="AD420" i="20"/>
  <c r="AJ272" i="20"/>
  <c r="AK264" i="20"/>
  <c r="AL248" i="20"/>
  <c r="AR264" i="20"/>
  <c r="AF324" i="20"/>
  <c r="AK436" i="20"/>
  <c r="AR420" i="20"/>
  <c r="AP516" i="20"/>
  <c r="AN260" i="20"/>
  <c r="AR504" i="20"/>
  <c r="AL252" i="20"/>
  <c r="AS492" i="20"/>
  <c r="AQ87" i="20"/>
  <c r="AJ388" i="20"/>
  <c r="AQ568" i="20"/>
  <c r="AI568" i="20"/>
  <c r="AJ560" i="20"/>
  <c r="AO556" i="20"/>
  <c r="AL544" i="20"/>
  <c r="AQ536" i="20"/>
  <c r="AD536" i="20"/>
  <c r="AO484" i="20"/>
  <c r="AF484" i="20"/>
  <c r="AM476" i="20"/>
  <c r="AN472" i="20"/>
  <c r="AO468" i="20"/>
  <c r="AN468" i="20"/>
  <c r="AJ460" i="20"/>
  <c r="AS452" i="20"/>
  <c r="AO448" i="20"/>
  <c r="AI440" i="20"/>
  <c r="AJ440" i="20"/>
  <c r="AN408" i="20"/>
  <c r="AO400" i="20"/>
  <c r="AD396" i="20"/>
  <c r="AQ552" i="20"/>
  <c r="AN548" i="20"/>
  <c r="AI564" i="20"/>
  <c r="AM540" i="20"/>
  <c r="AP532" i="20"/>
  <c r="AL464" i="20"/>
  <c r="AJ404" i="20"/>
  <c r="AN392" i="20"/>
  <c r="AJ392" i="20"/>
  <c r="AO464" i="20"/>
  <c r="AL416" i="20"/>
  <c r="AN340" i="20"/>
  <c r="AJ332" i="20"/>
  <c r="AJ328" i="20"/>
  <c r="AL324" i="20"/>
  <c r="AP308" i="20"/>
  <c r="AI304" i="20"/>
  <c r="AL300" i="20"/>
  <c r="AJ296" i="20"/>
  <c r="AL296" i="20"/>
  <c r="AN292" i="20"/>
  <c r="AM292" i="20"/>
  <c r="AL288" i="20"/>
  <c r="AO284" i="20"/>
  <c r="AL280" i="20"/>
  <c r="AP276" i="20"/>
  <c r="AI276" i="20"/>
  <c r="AL232" i="20"/>
  <c r="AO228" i="20"/>
  <c r="AO224" i="20"/>
  <c r="AR220" i="20"/>
  <c r="AL216" i="20"/>
  <c r="AD212" i="20"/>
  <c r="AD127" i="20"/>
  <c r="AM127" i="20"/>
  <c r="AN123" i="20"/>
  <c r="AI115" i="20"/>
  <c r="AP103" i="20"/>
  <c r="AQ99" i="20"/>
  <c r="AM91" i="20"/>
  <c r="AL244" i="20"/>
  <c r="AS91" i="20"/>
  <c r="AM228" i="20"/>
  <c r="AO324" i="20"/>
  <c r="AL127" i="20"/>
  <c r="AD232" i="20"/>
  <c r="AM304" i="20"/>
  <c r="AJ240" i="20"/>
  <c r="AO304" i="20"/>
  <c r="AL336" i="20"/>
  <c r="AN216" i="20"/>
  <c r="AS416" i="20"/>
  <c r="AS316" i="20"/>
  <c r="AD103" i="20"/>
  <c r="AR208" i="20"/>
  <c r="AQ232" i="20"/>
  <c r="AI384" i="20"/>
  <c r="AI364" i="20"/>
  <c r="AD63" i="20"/>
  <c r="AN119" i="20"/>
  <c r="AK99" i="20"/>
  <c r="AD95" i="20"/>
  <c r="AD87" i="20"/>
  <c r="AN67" i="20"/>
  <c r="AK67" i="20"/>
  <c r="AF87" i="20"/>
  <c r="AS67" i="20"/>
  <c r="AS87" i="20"/>
  <c r="AJ119" i="20"/>
  <c r="AK372" i="20"/>
  <c r="AR292" i="20"/>
  <c r="AN332" i="20"/>
  <c r="AK332" i="20"/>
  <c r="AS212" i="20"/>
  <c r="AP236" i="20"/>
  <c r="AJ216" i="20"/>
  <c r="AL208" i="20"/>
  <c r="AR232" i="20"/>
  <c r="AK103" i="20"/>
  <c r="AM119" i="20"/>
  <c r="AP127" i="20"/>
  <c r="AO212" i="20"/>
  <c r="AL220" i="20"/>
  <c r="AM232" i="20"/>
  <c r="AJ276" i="20"/>
  <c r="AR284" i="20"/>
  <c r="AM288" i="20"/>
  <c r="AP296" i="20"/>
  <c r="AK300" i="20"/>
  <c r="AF308" i="20"/>
  <c r="AR332" i="20"/>
  <c r="AS340" i="20"/>
  <c r="AF392" i="20"/>
  <c r="AP404" i="20"/>
  <c r="AP480" i="20"/>
  <c r="AN564" i="20"/>
  <c r="AL396" i="20"/>
  <c r="AD400" i="20"/>
  <c r="AN440" i="20"/>
  <c r="AJ448" i="20"/>
  <c r="AN460" i="20"/>
  <c r="AM472" i="20"/>
  <c r="AR484" i="20"/>
  <c r="AQ488" i="20"/>
  <c r="AI544" i="20"/>
  <c r="AJ556" i="20"/>
  <c r="AM568" i="20"/>
  <c r="AL504" i="20"/>
  <c r="AI248" i="20"/>
  <c r="AS496" i="20"/>
  <c r="AN424" i="20"/>
  <c r="AR312" i="20"/>
  <c r="AL264" i="20"/>
  <c r="AL512" i="20"/>
  <c r="AI79" i="20"/>
  <c r="AS83" i="20"/>
  <c r="AJ107" i="20"/>
  <c r="AJ136" i="20"/>
  <c r="AD424" i="20"/>
  <c r="AL557" i="20"/>
  <c r="AM144" i="20"/>
  <c r="AI185" i="20"/>
  <c r="AL132" i="20"/>
  <c r="AK308" i="20"/>
  <c r="AL573" i="20"/>
  <c r="AM569" i="20"/>
  <c r="AM565" i="20"/>
  <c r="AD557" i="20"/>
  <c r="AK553" i="20"/>
  <c r="AO545" i="20"/>
  <c r="AQ541" i="20"/>
  <c r="AM537" i="20"/>
  <c r="AK533" i="20"/>
  <c r="AF529" i="20"/>
  <c r="AS525" i="20"/>
  <c r="AI521" i="20"/>
  <c r="AQ517" i="20"/>
  <c r="AP513" i="20"/>
  <c r="AK509" i="20"/>
  <c r="AK505" i="20"/>
  <c r="AM501" i="20"/>
  <c r="AF497" i="20"/>
  <c r="AJ493" i="20"/>
  <c r="AN485" i="20"/>
  <c r="AD481" i="20"/>
  <c r="AD477" i="20"/>
  <c r="AQ465" i="20"/>
  <c r="AD461" i="20"/>
  <c r="AR457" i="20"/>
  <c r="AJ453" i="20"/>
  <c r="AJ449" i="20"/>
  <c r="AL445" i="20"/>
  <c r="AN441" i="20"/>
  <c r="AK433" i="20"/>
  <c r="AJ429" i="20"/>
  <c r="AF425" i="20"/>
  <c r="AL417" i="20"/>
  <c r="AN413" i="20"/>
  <c r="AJ409" i="20"/>
  <c r="AL405" i="20"/>
  <c r="AD397" i="20"/>
  <c r="AR393" i="20"/>
  <c r="AK389" i="20"/>
  <c r="AQ381" i="20"/>
  <c r="AF377" i="20"/>
  <c r="AO373" i="20"/>
  <c r="AO369" i="20"/>
  <c r="AK365" i="20"/>
  <c r="AK361" i="20"/>
  <c r="AD357" i="20"/>
  <c r="AO353" i="20"/>
  <c r="AK349" i="20"/>
  <c r="AP345" i="20"/>
  <c r="AI341" i="20"/>
  <c r="AJ337" i="20"/>
  <c r="AQ333" i="20"/>
  <c r="AQ325" i="20"/>
  <c r="AL321" i="20"/>
  <c r="AL317" i="20"/>
  <c r="AM309" i="20"/>
  <c r="AK305" i="20"/>
  <c r="AP293" i="20"/>
  <c r="AJ289" i="20"/>
  <c r="AJ285" i="20"/>
  <c r="AQ67" i="20"/>
  <c r="AL67" i="20"/>
  <c r="AM111" i="20"/>
  <c r="AR99" i="20"/>
  <c r="AD119" i="20"/>
  <c r="AJ412" i="20"/>
  <c r="AD384" i="20"/>
  <c r="AL228" i="20"/>
  <c r="AL119" i="20"/>
  <c r="AI328" i="20"/>
  <c r="AO232" i="20"/>
  <c r="AQ208" i="20"/>
  <c r="AR216" i="20"/>
  <c r="AK244" i="20"/>
  <c r="AL276" i="20"/>
  <c r="AI212" i="20"/>
  <c r="AN316" i="20"/>
  <c r="AP312" i="20"/>
  <c r="AQ172" i="20"/>
  <c r="AL91" i="20"/>
  <c r="AI103" i="20"/>
  <c r="AM115" i="20"/>
  <c r="AQ123" i="20"/>
  <c r="AQ127" i="20"/>
  <c r="AJ208" i="20"/>
  <c r="AS216" i="20"/>
  <c r="AD220" i="20"/>
  <c r="AS228" i="20"/>
  <c r="AD244" i="20"/>
  <c r="AN276" i="20"/>
  <c r="AP280" i="20"/>
  <c r="AI284" i="20"/>
  <c r="AP288" i="20"/>
  <c r="AD292" i="20"/>
  <c r="AK296" i="20"/>
  <c r="AN300" i="20"/>
  <c r="AD304" i="20"/>
  <c r="AK312" i="20"/>
  <c r="AS324" i="20"/>
  <c r="AP332" i="20"/>
  <c r="AD340" i="20"/>
  <c r="AI416" i="20"/>
  <c r="AS353" i="20"/>
  <c r="AM404" i="20"/>
  <c r="AJ464" i="20"/>
  <c r="AO480" i="20"/>
  <c r="AL552" i="20"/>
  <c r="AR472" i="20"/>
  <c r="AK440" i="20"/>
  <c r="AK396" i="20"/>
  <c r="AN400" i="20"/>
  <c r="AI408" i="20"/>
  <c r="AM448" i="20"/>
  <c r="AQ448" i="20"/>
  <c r="AS456" i="20"/>
  <c r="AF468" i="20"/>
  <c r="AI472" i="20"/>
  <c r="AS476" i="20"/>
  <c r="AI484" i="20"/>
  <c r="AO488" i="20"/>
  <c r="AK536" i="20"/>
  <c r="AQ544" i="20"/>
  <c r="AD556" i="20"/>
  <c r="AP560" i="20"/>
  <c r="AS572" i="20"/>
  <c r="AJ496" i="20"/>
  <c r="AP496" i="20"/>
  <c r="AJ260" i="20"/>
  <c r="AN496" i="20"/>
  <c r="AO516" i="20"/>
  <c r="AS520" i="20"/>
  <c r="AF398" i="20"/>
  <c r="AF272" i="20"/>
  <c r="AI252" i="20"/>
  <c r="AK268" i="20"/>
  <c r="AP416" i="20"/>
  <c r="AK520" i="20"/>
  <c r="AN75" i="20"/>
  <c r="AL107" i="20"/>
  <c r="AN71" i="20"/>
  <c r="AD107" i="20"/>
  <c r="AP268" i="20"/>
  <c r="AI130" i="20"/>
  <c r="AM364" i="20"/>
  <c r="AF344" i="20"/>
  <c r="AQ485" i="20"/>
  <c r="AP144" i="20"/>
  <c r="AS428" i="20"/>
  <c r="AJ164" i="20"/>
  <c r="AN127" i="20"/>
  <c r="AF197" i="20"/>
  <c r="AP281" i="20"/>
  <c r="AO277" i="20"/>
  <c r="AP273" i="20"/>
  <c r="AJ269" i="20"/>
  <c r="AQ265" i="20"/>
  <c r="AM261" i="20"/>
  <c r="AP257" i="20"/>
  <c r="AP249" i="20"/>
  <c r="AK245" i="20"/>
  <c r="AI241" i="20"/>
  <c r="AR233" i="20"/>
  <c r="AM225" i="20"/>
  <c r="AQ221" i="20"/>
  <c r="AF209" i="20"/>
  <c r="AD202" i="20"/>
  <c r="AM198" i="20"/>
  <c r="AM194" i="20"/>
  <c r="AP190" i="20"/>
  <c r="AJ186" i="20"/>
  <c r="AR182" i="20"/>
  <c r="AJ178" i="20"/>
  <c r="AM174" i="20"/>
  <c r="AL169" i="20"/>
  <c r="AF165" i="20"/>
  <c r="AD161" i="20"/>
  <c r="AQ157" i="20"/>
  <c r="AL153" i="20"/>
  <c r="AD149" i="20"/>
  <c r="AP145" i="20"/>
  <c r="AJ141" i="20"/>
  <c r="AS137" i="20"/>
  <c r="AP133" i="20"/>
  <c r="AK120" i="20"/>
  <c r="AQ116" i="20"/>
  <c r="AN112" i="20"/>
  <c r="AJ108" i="20"/>
  <c r="AJ104" i="20"/>
  <c r="AD100" i="20"/>
  <c r="AS96" i="20"/>
  <c r="AK92" i="20"/>
  <c r="AL88" i="20"/>
  <c r="AN84" i="20"/>
  <c r="AN80" i="20"/>
  <c r="AS76" i="20"/>
  <c r="AK72" i="20"/>
  <c r="AM68" i="20"/>
  <c r="AN64" i="20"/>
  <c r="AL203" i="20"/>
  <c r="AM567" i="20"/>
  <c r="AP511" i="20"/>
  <c r="AS495" i="20"/>
  <c r="AS491" i="20"/>
  <c r="AO471" i="20"/>
  <c r="AJ455" i="20"/>
  <c r="AL427" i="20"/>
  <c r="AJ419" i="20"/>
  <c r="AN411" i="20"/>
  <c r="AJ407" i="20"/>
  <c r="AQ387" i="20"/>
  <c r="AR383" i="20"/>
  <c r="AP375" i="20"/>
  <c r="AN371" i="20"/>
  <c r="AL363" i="20"/>
  <c r="AO359" i="20"/>
  <c r="AL355" i="20"/>
  <c r="AN351" i="20"/>
  <c r="AQ347" i="20"/>
  <c r="AI339" i="20"/>
  <c r="AP319" i="20"/>
  <c r="AP303" i="20"/>
  <c r="AI299" i="20"/>
  <c r="AD283" i="20"/>
  <c r="AD275" i="20"/>
  <c r="AM259" i="20"/>
  <c r="AQ251" i="20"/>
  <c r="AF247" i="20"/>
  <c r="AS243" i="20"/>
  <c r="AD235" i="20"/>
  <c r="AN227" i="20"/>
  <c r="AL223" i="20"/>
  <c r="AN215" i="20"/>
  <c r="AO211" i="20"/>
  <c r="AD200" i="20"/>
  <c r="AP196" i="20"/>
  <c r="AM192" i="20"/>
  <c r="AQ188" i="20"/>
  <c r="AN180" i="20"/>
  <c r="AI176" i="20"/>
  <c r="AD171" i="20"/>
  <c r="AD167" i="20"/>
  <c r="AM155" i="20"/>
  <c r="AN151" i="20"/>
  <c r="AN147" i="20"/>
  <c r="AK139" i="20"/>
  <c r="AD135" i="20"/>
  <c r="AM131" i="20"/>
  <c r="AL126" i="20"/>
  <c r="AL106" i="20"/>
  <c r="AR98" i="20"/>
  <c r="AF94" i="20"/>
  <c r="AQ82" i="20"/>
  <c r="AK74" i="20"/>
  <c r="AN66" i="20"/>
  <c r="AD40" i="20"/>
  <c r="AI40" i="20"/>
  <c r="AM40" i="20"/>
  <c r="AQ40" i="20"/>
  <c r="AE40" i="20"/>
  <c r="AJ40" i="20"/>
  <c r="AN40" i="20"/>
  <c r="AR40" i="20"/>
  <c r="AF40" i="20"/>
  <c r="AK40" i="20"/>
  <c r="AO40" i="20"/>
  <c r="AH40" i="20"/>
  <c r="AL40" i="20"/>
  <c r="AP40" i="20"/>
  <c r="AS84" i="20"/>
  <c r="AP194" i="20"/>
  <c r="AK190" i="20"/>
  <c r="AO257" i="20"/>
  <c r="AL68" i="20"/>
  <c r="AM64" i="20"/>
  <c r="AL361" i="20"/>
  <c r="AJ68" i="20"/>
  <c r="AS68" i="20"/>
  <c r="AK108" i="20"/>
  <c r="AJ92" i="20"/>
  <c r="AI558" i="20"/>
  <c r="AO345" i="20"/>
  <c r="AM433" i="20"/>
  <c r="AI485" i="20"/>
  <c r="AN145" i="20"/>
  <c r="AJ485" i="20"/>
  <c r="AO417" i="20"/>
  <c r="AI309" i="20"/>
  <c r="AJ529" i="20"/>
  <c r="AI453" i="20"/>
  <c r="AR194" i="20"/>
  <c r="AN131" i="20"/>
  <c r="AS387" i="20"/>
  <c r="AQ106" i="20"/>
  <c r="AM98" i="20"/>
  <c r="AJ402" i="20"/>
  <c r="AQ196" i="20"/>
  <c r="AK106" i="20"/>
  <c r="AI73" i="20"/>
  <c r="AQ398" i="20"/>
  <c r="AK215" i="20"/>
  <c r="AS363" i="20"/>
  <c r="AJ359" i="20"/>
  <c r="AO180" i="20"/>
  <c r="AK411" i="20"/>
  <c r="AJ66" i="20"/>
  <c r="AN139" i="20"/>
  <c r="AO196" i="20"/>
  <c r="AJ82" i="20"/>
  <c r="AI139" i="20"/>
  <c r="AL274" i="20"/>
  <c r="AD66" i="20"/>
  <c r="AN355" i="20"/>
  <c r="AD196" i="20"/>
  <c r="AS383" i="20"/>
  <c r="AP223" i="20"/>
  <c r="AQ319" i="20"/>
  <c r="AS147" i="20"/>
  <c r="AD131" i="20"/>
  <c r="AJ355" i="20"/>
  <c r="AI355" i="20"/>
  <c r="AJ131" i="20"/>
  <c r="AF254" i="20"/>
  <c r="AI82" i="20"/>
  <c r="AJ147" i="20"/>
  <c r="AI387" i="20"/>
  <c r="AN511" i="20"/>
  <c r="AS66" i="20"/>
  <c r="AS188" i="20"/>
  <c r="AQ383" i="20"/>
  <c r="AF371" i="20"/>
  <c r="AD188" i="20"/>
  <c r="AN188" i="20"/>
  <c r="AP106" i="20"/>
  <c r="AM302" i="20"/>
  <c r="AN234" i="20"/>
  <c r="AK550" i="20"/>
  <c r="AJ550" i="20"/>
  <c r="AN550" i="20"/>
  <c r="AO550" i="20"/>
  <c r="AF542" i="20"/>
  <c r="AS542" i="20"/>
  <c r="AI542" i="20"/>
  <c r="AI534" i="20"/>
  <c r="AR534" i="20"/>
  <c r="AM526" i="20"/>
  <c r="AF526" i="20"/>
  <c r="AI526" i="20"/>
  <c r="AK518" i="20"/>
  <c r="AQ518" i="20"/>
  <c r="AM518" i="20"/>
  <c r="AL474" i="20"/>
  <c r="AF474" i="20"/>
  <c r="AK466" i="20"/>
  <c r="AN466" i="20"/>
  <c r="AJ450" i="20"/>
  <c r="AS450" i="20"/>
  <c r="AF450" i="20"/>
  <c r="AI402" i="20"/>
  <c r="AQ402" i="20"/>
  <c r="AF402" i="20"/>
  <c r="AD394" i="20"/>
  <c r="AR394" i="20"/>
  <c r="AO394" i="20"/>
  <c r="AN342" i="20"/>
  <c r="AI342" i="20"/>
  <c r="AK342" i="20"/>
  <c r="AD342" i="20"/>
  <c r="AS338" i="20"/>
  <c r="AP338" i="20"/>
  <c r="AJ338" i="20"/>
  <c r="AN298" i="20"/>
  <c r="AS298" i="20"/>
  <c r="AK290" i="20"/>
  <c r="AP290" i="20"/>
  <c r="AJ290" i="20"/>
  <c r="AI286" i="20"/>
  <c r="AP286" i="20"/>
  <c r="AD282" i="20"/>
  <c r="AJ282" i="20"/>
  <c r="AS278" i="20"/>
  <c r="AM278" i="20"/>
  <c r="AO278" i="20"/>
  <c r="AR270" i="20"/>
  <c r="AS270" i="20"/>
  <c r="AM250" i="20"/>
  <c r="AF250" i="20"/>
  <c r="AO250" i="20"/>
  <c r="AI250" i="20"/>
  <c r="AP242" i="20"/>
  <c r="AQ242" i="20"/>
  <c r="AS230" i="20"/>
  <c r="AO230" i="20"/>
  <c r="AM230" i="20"/>
  <c r="AR195" i="20"/>
  <c r="AI195" i="20"/>
  <c r="AD195" i="20"/>
  <c r="AJ142" i="20"/>
  <c r="AK142" i="20"/>
  <c r="AI134" i="20"/>
  <c r="AJ134" i="20"/>
  <c r="AQ113" i="20"/>
  <c r="AJ113" i="20"/>
  <c r="AM109" i="20"/>
  <c r="AN109" i="20"/>
  <c r="AJ109" i="20"/>
  <c r="AI101" i="20"/>
  <c r="AL101" i="20"/>
  <c r="AJ85" i="20"/>
  <c r="AI85" i="20"/>
  <c r="AL398" i="20"/>
  <c r="AK398" i="20"/>
  <c r="AQ482" i="20"/>
  <c r="AM394" i="20"/>
  <c r="AI266" i="20"/>
  <c r="AD290" i="20"/>
  <c r="AJ242" i="20"/>
  <c r="AS109" i="20"/>
  <c r="AQ97" i="20"/>
  <c r="AF558" i="20"/>
  <c r="AD298" i="20"/>
  <c r="AN250" i="20"/>
  <c r="AP334" i="20"/>
  <c r="AM89" i="20"/>
  <c r="AM262" i="20"/>
  <c r="AR286" i="20"/>
  <c r="AF302" i="20"/>
  <c r="AM322" i="20"/>
  <c r="AP526" i="20"/>
  <c r="AP109" i="20"/>
  <c r="AO566" i="20"/>
  <c r="AR566" i="20"/>
  <c r="AO558" i="20"/>
  <c r="AP558" i="20"/>
  <c r="AS502" i="20"/>
  <c r="AQ502" i="20"/>
  <c r="AR502" i="20"/>
  <c r="AP486" i="20"/>
  <c r="AQ486" i="20"/>
  <c r="AF458" i="20"/>
  <c r="AM458" i="20"/>
  <c r="AJ442" i="20"/>
  <c r="AP442" i="20"/>
  <c r="AK438" i="20"/>
  <c r="AJ438" i="20"/>
  <c r="AK430" i="20"/>
  <c r="AS430" i="20"/>
  <c r="AN430" i="20"/>
  <c r="AS426" i="20"/>
  <c r="AL426" i="20"/>
  <c r="AP422" i="20"/>
  <c r="AJ422" i="20"/>
  <c r="AK418" i="20"/>
  <c r="AD418" i="20"/>
  <c r="AQ414" i="20"/>
  <c r="AP414" i="20"/>
  <c r="AL406" i="20"/>
  <c r="AO406" i="20"/>
  <c r="AI406" i="20"/>
  <c r="AD398" i="20"/>
  <c r="AS398" i="20"/>
  <c r="AQ390" i="20"/>
  <c r="AF390" i="20"/>
  <c r="AL390" i="20"/>
  <c r="AK390" i="20"/>
  <c r="AD382" i="20"/>
  <c r="AI382" i="20"/>
  <c r="AL382" i="20"/>
  <c r="AN330" i="20"/>
  <c r="AD330" i="20"/>
  <c r="AR330" i="20"/>
  <c r="AR326" i="20"/>
  <c r="AL326" i="20"/>
  <c r="AR318" i="20"/>
  <c r="AF318" i="20"/>
  <c r="AL318" i="20"/>
  <c r="AI318" i="20"/>
  <c r="AM314" i="20"/>
  <c r="AP314" i="20"/>
  <c r="AJ314" i="20"/>
  <c r="AM310" i="20"/>
  <c r="AQ310" i="20"/>
  <c r="AJ310" i="20"/>
  <c r="AD310" i="20"/>
  <c r="AN306" i="20"/>
  <c r="AK306" i="20"/>
  <c r="AS294" i="20"/>
  <c r="AR294" i="20"/>
  <c r="AF294" i="20"/>
  <c r="AF266" i="20"/>
  <c r="AM266" i="20"/>
  <c r="AD266" i="20"/>
  <c r="AK258" i="20"/>
  <c r="AS258" i="20"/>
  <c r="AL258" i="20"/>
  <c r="AR254" i="20"/>
  <c r="AP246" i="20"/>
  <c r="AS246" i="20"/>
  <c r="AM246" i="20"/>
  <c r="AR246" i="20"/>
  <c r="AP226" i="20"/>
  <c r="AF226" i="20"/>
  <c r="AI222" i="20"/>
  <c r="AF222" i="20"/>
  <c r="AP218" i="20"/>
  <c r="AM218" i="20"/>
  <c r="AK218" i="20"/>
  <c r="AM214" i="20"/>
  <c r="AQ214" i="20"/>
  <c r="AL206" i="20"/>
  <c r="AM206" i="20"/>
  <c r="AP206" i="20"/>
  <c r="AR170" i="20"/>
  <c r="AK170" i="20"/>
  <c r="AL162" i="20"/>
  <c r="AM162" i="20"/>
  <c r="AM125" i="20"/>
  <c r="AI125" i="20"/>
  <c r="AL117" i="20"/>
  <c r="AM117" i="20"/>
  <c r="AJ93" i="20"/>
  <c r="AL93" i="20"/>
  <c r="AP93" i="20"/>
  <c r="AD93" i="20"/>
  <c r="AF65" i="20"/>
  <c r="AI65" i="20"/>
  <c r="AR65" i="20"/>
  <c r="AP65" i="20"/>
  <c r="AM65" i="20"/>
  <c r="AQ204" i="20"/>
  <c r="AD204" i="20"/>
  <c r="AO204" i="20"/>
  <c r="AL204" i="20"/>
  <c r="AM534" i="20"/>
  <c r="AN406" i="20"/>
  <c r="AD542" i="20"/>
  <c r="AR93" i="20"/>
  <c r="AK270" i="20"/>
  <c r="AD318" i="20"/>
  <c r="AD414" i="20"/>
  <c r="AR274" i="20"/>
  <c r="AO418" i="20"/>
  <c r="AK73" i="20"/>
  <c r="AO434" i="20"/>
  <c r="AP450" i="20"/>
  <c r="AM191" i="20"/>
  <c r="AS162" i="20"/>
  <c r="AJ65" i="20"/>
  <c r="AJ382" i="20"/>
  <c r="AD534" i="20"/>
  <c r="AO382" i="20"/>
  <c r="AK204" i="20"/>
  <c r="AJ394" i="20"/>
  <c r="AD486" i="20"/>
  <c r="AJ542" i="20"/>
  <c r="AD566" i="20"/>
  <c r="AO322" i="20"/>
  <c r="AM294" i="20"/>
  <c r="AQ334" i="20"/>
  <c r="AQ426" i="20"/>
  <c r="AN254" i="20"/>
  <c r="AJ270" i="20"/>
  <c r="AD278" i="20"/>
  <c r="AS302" i="20"/>
  <c r="AI322" i="20"/>
  <c r="AO338" i="20"/>
  <c r="AO422" i="20"/>
  <c r="AK222" i="20"/>
  <c r="AD117" i="20"/>
  <c r="AM183" i="20"/>
  <c r="AK68" i="20"/>
  <c r="AR64" i="20"/>
  <c r="AO497" i="20"/>
  <c r="AK112" i="20"/>
  <c r="AS349" i="20"/>
  <c r="AL112" i="20"/>
  <c r="AF349" i="20"/>
  <c r="AS357" i="20"/>
  <c r="AM76" i="20"/>
  <c r="AL178" i="20"/>
  <c r="AI377" i="20"/>
  <c r="AP153" i="20"/>
  <c r="AS269" i="20"/>
  <c r="AL505" i="20"/>
  <c r="AN493" i="20"/>
  <c r="AM112" i="20"/>
  <c r="AP349" i="20"/>
  <c r="AO178" i="20"/>
  <c r="AK141" i="20"/>
  <c r="AQ68" i="20"/>
  <c r="AD64" i="20"/>
  <c r="AJ64" i="20"/>
  <c r="AF92" i="20"/>
  <c r="AK325" i="20"/>
  <c r="AL289" i="20"/>
  <c r="AN505" i="20"/>
  <c r="AI389" i="20"/>
  <c r="AD493" i="20"/>
  <c r="AS497" i="20"/>
  <c r="AF345" i="20"/>
  <c r="AF353" i="20"/>
  <c r="AF112" i="20"/>
  <c r="AI84" i="20"/>
  <c r="AS345" i="20"/>
  <c r="AL345" i="20"/>
  <c r="AO349" i="20"/>
  <c r="AP357" i="20"/>
  <c r="AK537" i="20"/>
  <c r="AI182" i="20"/>
  <c r="AI465" i="20"/>
  <c r="AJ513" i="20"/>
  <c r="AP501" i="20"/>
  <c r="AR198" i="20"/>
  <c r="AS141" i="20"/>
  <c r="AP108" i="20"/>
  <c r="AJ194" i="20"/>
  <c r="AF361" i="20"/>
  <c r="AK133" i="20"/>
  <c r="AP174" i="20"/>
  <c r="AS361" i="20"/>
  <c r="AL277" i="20"/>
  <c r="AL96" i="20"/>
  <c r="AL221" i="20"/>
  <c r="AO321" i="20"/>
  <c r="AS389" i="20"/>
  <c r="AL501" i="20"/>
  <c r="AM165" i="20"/>
  <c r="AF417" i="20"/>
  <c r="AN321" i="20"/>
  <c r="AQ249" i="20"/>
  <c r="AF269" i="20"/>
  <c r="AS289" i="20"/>
  <c r="AM108" i="20"/>
  <c r="AN92" i="20"/>
  <c r="AI273" i="20"/>
  <c r="AI501" i="20"/>
  <c r="AI525" i="20"/>
  <c r="AK493" i="20"/>
  <c r="AQ497" i="20"/>
  <c r="AJ353" i="20"/>
  <c r="AL84" i="20"/>
  <c r="AK345" i="20"/>
  <c r="AR345" i="20"/>
  <c r="AJ357" i="20"/>
  <c r="AQ433" i="20"/>
  <c r="AL537" i="20"/>
  <c r="AI137" i="20"/>
  <c r="AI445" i="20"/>
  <c r="AR481" i="20"/>
  <c r="AM513" i="20"/>
  <c r="AP509" i="20"/>
  <c r="AJ169" i="20"/>
  <c r="AL145" i="20"/>
  <c r="AN133" i="20"/>
  <c r="AD108" i="20"/>
  <c r="AF174" i="20"/>
  <c r="AP157" i="20"/>
  <c r="AD194" i="20"/>
  <c r="AL377" i="20"/>
  <c r="AM169" i="20"/>
  <c r="AF198" i="20"/>
  <c r="AJ190" i="20"/>
  <c r="AP104" i="20"/>
  <c r="AD245" i="20"/>
  <c r="AI92" i="20"/>
  <c r="AL465" i="20"/>
  <c r="AL541" i="20"/>
  <c r="AQ108" i="20"/>
  <c r="AM305" i="20"/>
  <c r="AR104" i="20"/>
  <c r="AK337" i="20"/>
  <c r="AO221" i="20"/>
  <c r="AP68" i="20"/>
  <c r="AI68" i="20"/>
  <c r="AF68" i="20"/>
  <c r="AK64" i="20"/>
  <c r="AL64" i="20"/>
  <c r="AF88" i="20"/>
  <c r="AQ493" i="20"/>
  <c r="AL497" i="20"/>
  <c r="AL353" i="20"/>
  <c r="AQ353" i="20"/>
  <c r="AD84" i="20"/>
  <c r="AJ345" i="20"/>
  <c r="AQ349" i="20"/>
  <c r="AO357" i="20"/>
  <c r="AR433" i="20"/>
  <c r="AJ182" i="20"/>
  <c r="AK461" i="20"/>
  <c r="AK485" i="20"/>
  <c r="AD465" i="20"/>
  <c r="AD88" i="20"/>
  <c r="AS108" i="20"/>
  <c r="AF153" i="20"/>
  <c r="AL141" i="20"/>
  <c r="AI72" i="20"/>
  <c r="AM133" i="20"/>
  <c r="AR361" i="20"/>
  <c r="AD373" i="20"/>
  <c r="AI116" i="20"/>
  <c r="AJ249" i="20"/>
  <c r="AJ545" i="20"/>
  <c r="AJ317" i="20"/>
  <c r="AD501" i="20"/>
  <c r="AQ481" i="20"/>
  <c r="AQ393" i="20"/>
  <c r="AM525" i="20"/>
  <c r="AF325" i="20"/>
  <c r="AN526" i="20"/>
  <c r="AO526" i="20"/>
  <c r="AJ510" i="20"/>
  <c r="AN510" i="20"/>
  <c r="AO482" i="20"/>
  <c r="AR482" i="20"/>
  <c r="AI478" i="20"/>
  <c r="AM478" i="20"/>
  <c r="AK474" i="20"/>
  <c r="AP474" i="20"/>
  <c r="AL362" i="20"/>
  <c r="AF362" i="20"/>
  <c r="AN238" i="20"/>
  <c r="AP238" i="20"/>
  <c r="AR238" i="20"/>
  <c r="AF234" i="20"/>
  <c r="AL234" i="20"/>
  <c r="AQ175" i="20"/>
  <c r="AM175" i="20"/>
  <c r="AI170" i="20"/>
  <c r="AJ170" i="20"/>
  <c r="AR166" i="20"/>
  <c r="AP166" i="20"/>
  <c r="AL138" i="20"/>
  <c r="AM138" i="20"/>
  <c r="AS125" i="20"/>
  <c r="AD125" i="20"/>
  <c r="AQ121" i="20"/>
  <c r="AD121" i="20"/>
  <c r="AF105" i="20"/>
  <c r="AK105" i="20"/>
  <c r="AM85" i="20"/>
  <c r="AP85" i="20"/>
  <c r="AS565" i="20"/>
  <c r="AN565" i="20"/>
  <c r="AO521" i="20"/>
  <c r="AR521" i="20"/>
  <c r="AL521" i="20"/>
  <c r="AJ489" i="20"/>
  <c r="AD489" i="20"/>
  <c r="AQ489" i="20"/>
  <c r="AR469" i="20"/>
  <c r="AD469" i="20"/>
  <c r="AK445" i="20"/>
  <c r="AS445" i="20"/>
  <c r="AK437" i="20"/>
  <c r="AJ437" i="20"/>
  <c r="AS405" i="20"/>
  <c r="AF405" i="20"/>
  <c r="AD385" i="20"/>
  <c r="AM385" i="20"/>
  <c r="AN385" i="20"/>
  <c r="AO381" i="20"/>
  <c r="AJ381" i="20"/>
  <c r="AM377" i="20"/>
  <c r="AN377" i="20"/>
  <c r="AJ369" i="20"/>
  <c r="AP369" i="20"/>
  <c r="AR369" i="20"/>
  <c r="AJ365" i="20"/>
  <c r="AO365" i="20"/>
  <c r="AJ297" i="20"/>
  <c r="AS297" i="20"/>
  <c r="AF285" i="20"/>
  <c r="AM285" i="20"/>
  <c r="AP202" i="20"/>
  <c r="AM202" i="20"/>
  <c r="AS202" i="20"/>
  <c r="AN190" i="20"/>
  <c r="AD190" i="20"/>
  <c r="AP178" i="20"/>
  <c r="AN178" i="20"/>
  <c r="AN165" i="20"/>
  <c r="AL165" i="20"/>
  <c r="AQ161" i="20"/>
  <c r="AP161" i="20"/>
  <c r="AK149" i="20"/>
  <c r="AQ149" i="20"/>
  <c r="AL149" i="20"/>
  <c r="AK137" i="20"/>
  <c r="AD137" i="20"/>
  <c r="AJ124" i="20"/>
  <c r="AI124" i="20"/>
  <c r="AN203" i="20"/>
  <c r="AP203" i="20"/>
  <c r="AR68" i="20"/>
  <c r="AI64" i="20"/>
  <c r="AR108" i="20"/>
  <c r="AP92" i="20"/>
  <c r="AI325" i="20"/>
  <c r="AK477" i="20"/>
  <c r="AS482" i="20"/>
  <c r="AQ550" i="20"/>
  <c r="AP382" i="20"/>
  <c r="AJ398" i="20"/>
  <c r="AD402" i="20"/>
  <c r="AM406" i="20"/>
  <c r="AD482" i="20"/>
  <c r="AS493" i="20"/>
  <c r="AN497" i="20"/>
  <c r="AP534" i="20"/>
  <c r="AL542" i="20"/>
  <c r="AI550" i="20"/>
  <c r="AN566" i="20"/>
  <c r="AM426" i="20"/>
  <c r="AL282" i="20"/>
  <c r="AR282" i="20"/>
  <c r="AF357" i="20"/>
  <c r="AQ112" i="20"/>
  <c r="AN294" i="20"/>
  <c r="AK318" i="20"/>
  <c r="AL342" i="20"/>
  <c r="AS414" i="20"/>
  <c r="AO433" i="20"/>
  <c r="AF422" i="20"/>
  <c r="AL250" i="20"/>
  <c r="AS112" i="20"/>
  <c r="AD258" i="20"/>
  <c r="AQ266" i="20"/>
  <c r="AI278" i="20"/>
  <c r="AI290" i="20"/>
  <c r="AQ302" i="20"/>
  <c r="AS310" i="20"/>
  <c r="AR349" i="20"/>
  <c r="AL349" i="20"/>
  <c r="AN418" i="20"/>
  <c r="AJ474" i="20"/>
  <c r="AI186" i="20"/>
  <c r="AI449" i="20"/>
  <c r="AJ469" i="20"/>
  <c r="AL489" i="20"/>
  <c r="AN513" i="20"/>
  <c r="AF509" i="20"/>
  <c r="AJ406" i="20"/>
  <c r="AR385" i="20"/>
  <c r="AL81" i="20"/>
  <c r="AM121" i="20"/>
  <c r="AM149" i="20"/>
  <c r="AP88" i="20"/>
  <c r="AK101" i="20"/>
  <c r="AS510" i="20"/>
  <c r="AS242" i="20"/>
  <c r="AK97" i="20"/>
  <c r="AF178" i="20"/>
  <c r="AF194" i="20"/>
  <c r="AN73" i="20"/>
  <c r="AN108" i="20"/>
  <c r="AJ88" i="20"/>
  <c r="AJ129" i="20"/>
  <c r="AI178" i="20"/>
  <c r="AK202" i="20"/>
  <c r="AO318" i="20"/>
  <c r="AI510" i="20"/>
  <c r="AN381" i="20"/>
  <c r="AK161" i="20"/>
  <c r="AL97" i="20"/>
  <c r="AN72" i="20"/>
  <c r="AP125" i="20"/>
  <c r="AJ137" i="20"/>
  <c r="AS182" i="20"/>
  <c r="AL198" i="20"/>
  <c r="AI214" i="20"/>
  <c r="AK238" i="20"/>
  <c r="AM365" i="20"/>
  <c r="AM381" i="20"/>
  <c r="AO466" i="20"/>
  <c r="AF410" i="20"/>
  <c r="AM170" i="20"/>
  <c r="AD191" i="20"/>
  <c r="AR466" i="20"/>
  <c r="AN394" i="20"/>
  <c r="AI481" i="20"/>
  <c r="AF242" i="20"/>
  <c r="AJ346" i="20"/>
  <c r="AL469" i="20"/>
  <c r="AK573" i="20"/>
  <c r="AI209" i="20"/>
  <c r="AJ221" i="20"/>
  <c r="AK333" i="20"/>
  <c r="AQ202" i="20"/>
  <c r="AN553" i="20"/>
  <c r="AJ553" i="20"/>
  <c r="AJ517" i="20"/>
  <c r="AI517" i="20"/>
  <c r="AF457" i="20"/>
  <c r="AI457" i="20"/>
  <c r="AN433" i="20"/>
  <c r="AL433" i="20"/>
  <c r="AK393" i="20"/>
  <c r="AD393" i="20"/>
  <c r="AK373" i="20"/>
  <c r="AQ373" i="20"/>
  <c r="AM357" i="20"/>
  <c r="AR357" i="20"/>
  <c r="AD301" i="20"/>
  <c r="AJ301" i="20"/>
  <c r="AO253" i="20"/>
  <c r="AP253" i="20"/>
  <c r="AF221" i="20"/>
  <c r="AN221" i="20"/>
  <c r="AS198" i="20"/>
  <c r="AP198" i="20"/>
  <c r="AM186" i="20"/>
  <c r="AQ182" i="20"/>
  <c r="AF182" i="20"/>
  <c r="AL174" i="20"/>
  <c r="AQ174" i="20"/>
  <c r="AD157" i="20"/>
  <c r="AR157" i="20"/>
  <c r="AM141" i="20"/>
  <c r="AF141" i="20"/>
  <c r="AF96" i="20"/>
  <c r="AQ96" i="20"/>
  <c r="AS88" i="20"/>
  <c r="AN88" i="20"/>
  <c r="AK80" i="20"/>
  <c r="AQ80" i="20"/>
  <c r="AF72" i="20"/>
  <c r="AQ72" i="20"/>
  <c r="AE42" i="20"/>
  <c r="AJ42" i="20"/>
  <c r="AN42" i="20"/>
  <c r="AR42" i="20"/>
  <c r="AF42" i="20"/>
  <c r="AK42" i="20"/>
  <c r="AO42" i="20"/>
  <c r="AH42" i="20"/>
  <c r="AL42" i="20"/>
  <c r="AP42" i="20"/>
  <c r="AD42" i="20"/>
  <c r="AI42" i="20"/>
  <c r="AM42" i="20"/>
  <c r="AQ42" i="20"/>
  <c r="AD44" i="20"/>
  <c r="AI44" i="20"/>
  <c r="AM44" i="20"/>
  <c r="AQ44" i="20"/>
  <c r="AE44" i="20"/>
  <c r="AJ44" i="20"/>
  <c r="AN44" i="20"/>
  <c r="AR44" i="20"/>
  <c r="AF44" i="20"/>
  <c r="AK44" i="20"/>
  <c r="AO44" i="20"/>
  <c r="AH44" i="20"/>
  <c r="AL44" i="20"/>
  <c r="AP44" i="20"/>
  <c r="AF43" i="20"/>
  <c r="AK43" i="20"/>
  <c r="AO43" i="20"/>
  <c r="AH43" i="20"/>
  <c r="AL43" i="20"/>
  <c r="AP43" i="20"/>
  <c r="AD43" i="20"/>
  <c r="AI43" i="20"/>
  <c r="AM43" i="20"/>
  <c r="AQ43" i="20"/>
  <c r="AE43" i="20"/>
  <c r="AJ43" i="20"/>
  <c r="AN43" i="20"/>
  <c r="AR43" i="20"/>
  <c r="AJ567" i="20"/>
  <c r="AQ563" i="20"/>
  <c r="AS555" i="20"/>
  <c r="AK551" i="20"/>
  <c r="AJ547" i="20"/>
  <c r="AL523" i="20"/>
  <c r="AR519" i="20"/>
  <c r="AL507" i="20"/>
  <c r="AL499" i="20"/>
  <c r="AM475" i="20"/>
  <c r="AQ471" i="20"/>
  <c r="AI463" i="20"/>
  <c r="AP459" i="20"/>
  <c r="AD451" i="20"/>
  <c r="AM443" i="20"/>
  <c r="AS439" i="20"/>
  <c r="AS435" i="20"/>
  <c r="AL431" i="20"/>
  <c r="AJ427" i="20"/>
  <c r="AN423" i="20"/>
  <c r="AF419" i="20"/>
  <c r="AJ415" i="20"/>
  <c r="AL411" i="20"/>
  <c r="AL407" i="20"/>
  <c r="AJ403" i="20"/>
  <c r="AI399" i="20"/>
  <c r="AL395" i="20"/>
  <c r="AI391" i="20"/>
  <c r="AR387" i="20"/>
  <c r="AN383" i="20"/>
  <c r="AJ379" i="20"/>
  <c r="AP371" i="20"/>
  <c r="AO367" i="20"/>
  <c r="AL359" i="20"/>
  <c r="AF355" i="20"/>
  <c r="AI351" i="20"/>
  <c r="AN347" i="20"/>
  <c r="AD331" i="20"/>
  <c r="AQ327" i="20"/>
  <c r="AR323" i="20"/>
  <c r="AI319" i="20"/>
  <c r="AN315" i="20"/>
  <c r="AM303" i="20"/>
  <c r="AD299" i="20"/>
  <c r="AM295" i="20"/>
  <c r="AQ283" i="20"/>
  <c r="AN275" i="20"/>
  <c r="AK271" i="20"/>
  <c r="AM263" i="20"/>
  <c r="AP235" i="20"/>
  <c r="AI231" i="20"/>
  <c r="AD227" i="20"/>
  <c r="AI219" i="20"/>
  <c r="AS196" i="20"/>
  <c r="AP180" i="20"/>
  <c r="AF171" i="20"/>
  <c r="AD163" i="20"/>
  <c r="AQ155" i="20"/>
  <c r="AL147" i="20"/>
  <c r="AD139" i="20"/>
  <c r="AQ131" i="20"/>
  <c r="AR122" i="20"/>
  <c r="AM110" i="20"/>
  <c r="AS106" i="20"/>
  <c r="AK98" i="20"/>
  <c r="AS82" i="20"/>
  <c r="AS74" i="20"/>
  <c r="AF66" i="20"/>
  <c r="AP205" i="20"/>
  <c r="AF45" i="20"/>
  <c r="AK45" i="20"/>
  <c r="AO45" i="20"/>
  <c r="AD45" i="20"/>
  <c r="AQ45" i="20"/>
  <c r="AJ45" i="20"/>
  <c r="AN45" i="20"/>
  <c r="AH45" i="20"/>
  <c r="AL45" i="20"/>
  <c r="AP45" i="20"/>
  <c r="AI45" i="20"/>
  <c r="AM45" i="20"/>
  <c r="AE45" i="20"/>
  <c r="AR45" i="20"/>
  <c r="AE41" i="20"/>
  <c r="AJ41" i="20"/>
  <c r="AN41" i="20"/>
  <c r="AR41" i="20"/>
  <c r="AF41" i="20"/>
  <c r="AK41" i="20"/>
  <c r="AO41" i="20"/>
  <c r="AH41" i="20"/>
  <c r="AL41" i="20"/>
  <c r="AP41" i="20"/>
  <c r="AD41" i="20"/>
  <c r="AI41" i="20"/>
  <c r="AM41" i="20"/>
  <c r="AQ41" i="20"/>
  <c r="I17" i="36"/>
  <c r="J18" i="36"/>
  <c r="J21" i="36"/>
  <c r="D11" i="36"/>
  <c r="F11" i="36"/>
  <c r="G11" i="36"/>
  <c r="F23" i="36"/>
  <c r="D23" i="36"/>
  <c r="Z95" i="19"/>
  <c r="E11" i="36"/>
  <c r="I16" i="36"/>
  <c r="G23" i="36"/>
  <c r="I19" i="36"/>
  <c r="I18" i="36"/>
  <c r="AG28" i="37"/>
  <c r="AK28" i="37"/>
  <c r="S9" i="36"/>
  <c r="AT25" i="40"/>
  <c r="B11" i="36"/>
  <c r="L23" i="40"/>
  <c r="Z11" i="72"/>
  <c r="AN25" i="40"/>
  <c r="AN33" i="40"/>
  <c r="AN24" i="40"/>
  <c r="I20" i="36"/>
  <c r="AI28" i="37"/>
  <c r="L24" i="40"/>
  <c r="AF571" i="20"/>
  <c r="AM571" i="20"/>
  <c r="AS559" i="20"/>
  <c r="AM559" i="20"/>
  <c r="AP531" i="20"/>
  <c r="AN531" i="20"/>
  <c r="AK511" i="20"/>
  <c r="AD511" i="20"/>
  <c r="AM503" i="20"/>
  <c r="AI503" i="20"/>
  <c r="AS503" i="20"/>
  <c r="AO495" i="20"/>
  <c r="AQ495" i="20"/>
  <c r="AM491" i="20"/>
  <c r="AO491" i="20"/>
  <c r="AK487" i="20"/>
  <c r="AP487" i="20"/>
  <c r="AM483" i="20"/>
  <c r="AF483" i="20"/>
  <c r="AD447" i="20"/>
  <c r="AP447" i="20"/>
  <c r="AL375" i="20"/>
  <c r="AM375" i="20"/>
  <c r="AF363" i="20"/>
  <c r="AK363" i="20"/>
  <c r="AQ343" i="20"/>
  <c r="AJ343" i="20"/>
  <c r="AK343" i="20"/>
  <c r="AK339" i="20"/>
  <c r="AN339" i="20"/>
  <c r="AF335" i="20"/>
  <c r="AJ335" i="20"/>
  <c r="AI311" i="20"/>
  <c r="AQ311" i="20"/>
  <c r="AO311" i="20"/>
  <c r="AN307" i="20"/>
  <c r="AF307" i="20"/>
  <c r="AF291" i="20"/>
  <c r="AM291" i="20"/>
  <c r="AJ287" i="20"/>
  <c r="AN287" i="20"/>
  <c r="AR287" i="20"/>
  <c r="AI279" i="20"/>
  <c r="AN279" i="20"/>
  <c r="AF279" i="20"/>
  <c r="AF267" i="20"/>
  <c r="AK267" i="20"/>
  <c r="AJ255" i="20"/>
  <c r="AR255" i="20"/>
  <c r="AD251" i="20"/>
  <c r="AM251" i="20"/>
  <c r="AS247" i="20"/>
  <c r="AD247" i="20"/>
  <c r="AN243" i="20"/>
  <c r="AJ243" i="20"/>
  <c r="AN239" i="20"/>
  <c r="AL239" i="20"/>
  <c r="AO239" i="20"/>
  <c r="AS223" i="20"/>
  <c r="AM223" i="20"/>
  <c r="AK223" i="20"/>
  <c r="AL215" i="20"/>
  <c r="AM215" i="20"/>
  <c r="AQ215" i="20"/>
  <c r="AN211" i="20"/>
  <c r="AK211" i="20"/>
  <c r="AR207" i="20"/>
  <c r="AL207" i="20"/>
  <c r="AP114" i="20"/>
  <c r="AS114" i="20"/>
  <c r="AJ90" i="20"/>
  <c r="AN90" i="20"/>
  <c r="AP90" i="20"/>
  <c r="AM66" i="20"/>
  <c r="AK66" i="20"/>
  <c r="AI247" i="20"/>
  <c r="AJ139" i="20"/>
  <c r="AL180" i="20"/>
  <c r="AP131" i="20"/>
  <c r="AQ180" i="20"/>
  <c r="AJ180" i="20"/>
  <c r="AM355" i="20"/>
  <c r="AF196" i="20"/>
  <c r="AK351" i="20"/>
  <c r="AS347" i="20"/>
  <c r="AP82" i="20"/>
  <c r="AQ139" i="20"/>
  <c r="AK147" i="20"/>
  <c r="AN155" i="20"/>
  <c r="AJ171" i="20"/>
  <c r="AK180" i="20"/>
  <c r="AD180" i="20"/>
  <c r="AL188" i="20"/>
  <c r="AR347" i="20"/>
  <c r="AD347" i="20"/>
  <c r="AP359" i="20"/>
  <c r="AF98" i="20"/>
  <c r="AL491" i="20"/>
  <c r="AO387" i="20"/>
  <c r="AF387" i="20"/>
  <c r="AJ98" i="20"/>
  <c r="AK495" i="20"/>
  <c r="AM435" i="20"/>
  <c r="AN98" i="20"/>
  <c r="AM511" i="20"/>
  <c r="AP507" i="20"/>
  <c r="AM379" i="20"/>
  <c r="AL383" i="20"/>
  <c r="AO371" i="20"/>
  <c r="AR339" i="20"/>
  <c r="AL279" i="20"/>
  <c r="AQ279" i="20"/>
  <c r="AQ114" i="20"/>
  <c r="AF219" i="20"/>
  <c r="AL227" i="20"/>
  <c r="AO235" i="20"/>
  <c r="AR251" i="20"/>
  <c r="AJ271" i="20"/>
  <c r="AK291" i="20"/>
  <c r="AJ307" i="20"/>
  <c r="AP323" i="20"/>
  <c r="AO339" i="20"/>
  <c r="AF211" i="20"/>
  <c r="AD211" i="20"/>
  <c r="AK275" i="20"/>
  <c r="AJ311" i="20"/>
  <c r="AL231" i="20"/>
  <c r="AK371" i="20"/>
  <c r="AI483" i="20"/>
  <c r="AO563" i="20"/>
  <c r="AM563" i="20"/>
  <c r="AS487" i="20"/>
  <c r="AQ478" i="20"/>
  <c r="AD478" i="20"/>
  <c r="AK478" i="20"/>
  <c r="AR470" i="20"/>
  <c r="AK470" i="20"/>
  <c r="AR454" i="20"/>
  <c r="AS454" i="20"/>
  <c r="AQ454" i="20"/>
  <c r="AL454" i="20"/>
  <c r="AN454" i="20"/>
  <c r="AN450" i="20"/>
  <c r="AM450" i="20"/>
  <c r="AP434" i="20"/>
  <c r="AI434" i="20"/>
  <c r="AP430" i="20"/>
  <c r="AR430" i="20"/>
  <c r="AI426" i="20"/>
  <c r="AP426" i="20"/>
  <c r="AM422" i="20"/>
  <c r="AS422" i="20"/>
  <c r="AD390" i="20"/>
  <c r="AP390" i="20"/>
  <c r="AP386" i="20"/>
  <c r="AK386" i="20"/>
  <c r="AO366" i="20"/>
  <c r="AR366" i="20"/>
  <c r="AR358" i="20"/>
  <c r="AQ358" i="20"/>
  <c r="AJ354" i="20"/>
  <c r="AD354" i="20"/>
  <c r="AR338" i="20"/>
  <c r="AN338" i="20"/>
  <c r="AN334" i="20"/>
  <c r="AD334" i="20"/>
  <c r="AI330" i="20"/>
  <c r="AM330" i="20"/>
  <c r="AJ326" i="20"/>
  <c r="AF326" i="20"/>
  <c r="AD322" i="20"/>
  <c r="AR322" i="20"/>
  <c r="AN314" i="20"/>
  <c r="AL314" i="20"/>
  <c r="AD306" i="20"/>
  <c r="AJ306" i="20"/>
  <c r="AQ298" i="20"/>
  <c r="AM298" i="20"/>
  <c r="AD286" i="20"/>
  <c r="AO286" i="20"/>
  <c r="AI282" i="20"/>
  <c r="AN282" i="20"/>
  <c r="AP274" i="20"/>
  <c r="AN274" i="20"/>
  <c r="AK274" i="20"/>
  <c r="AP270" i="20"/>
  <c r="AN270" i="20"/>
  <c r="AL262" i="20"/>
  <c r="AF262" i="20"/>
  <c r="AN262" i="20"/>
  <c r="AJ254" i="20"/>
  <c r="AP254" i="20"/>
  <c r="AK230" i="20"/>
  <c r="AF230" i="20"/>
  <c r="AI230" i="20"/>
  <c r="AM226" i="20"/>
  <c r="AD226" i="20"/>
  <c r="AM222" i="20"/>
  <c r="AR222" i="20"/>
  <c r="AL218" i="20"/>
  <c r="AS218" i="20"/>
  <c r="AK210" i="20"/>
  <c r="AJ210" i="20"/>
  <c r="AQ199" i="20"/>
  <c r="AR199" i="20"/>
  <c r="AQ183" i="20"/>
  <c r="AO183" i="20"/>
  <c r="AL183" i="20"/>
  <c r="AR183" i="20"/>
  <c r="AS179" i="20"/>
  <c r="AI179" i="20"/>
  <c r="AI162" i="20"/>
  <c r="AR162" i="20"/>
  <c r="AS158" i="20"/>
  <c r="AR158" i="20"/>
  <c r="AP154" i="20"/>
  <c r="AJ154" i="20"/>
  <c r="AF150" i="20"/>
  <c r="AN150" i="20"/>
  <c r="AR150" i="20"/>
  <c r="AI150" i="20"/>
  <c r="AF146" i="20"/>
  <c r="AD146" i="20"/>
  <c r="AM134" i="20"/>
  <c r="AL134" i="20"/>
  <c r="AI129" i="20"/>
  <c r="AR129" i="20"/>
  <c r="AR113" i="20"/>
  <c r="AI113" i="20"/>
  <c r="AD101" i="20"/>
  <c r="AN101" i="20"/>
  <c r="AH97" i="20"/>
  <c r="AF97" i="20"/>
  <c r="AP97" i="20"/>
  <c r="AR89" i="20"/>
  <c r="AF89" i="20"/>
  <c r="AR66" i="20"/>
  <c r="AI66" i="20"/>
  <c r="AD105" i="20"/>
  <c r="AD65" i="20"/>
  <c r="AL65" i="20"/>
  <c r="AI105" i="20"/>
  <c r="AR97" i="20"/>
  <c r="AI146" i="20"/>
  <c r="AI386" i="20"/>
  <c r="AD370" i="20"/>
  <c r="AO390" i="20"/>
  <c r="AL155" i="20"/>
  <c r="AS359" i="20"/>
  <c r="AI347" i="20"/>
  <c r="AQ355" i="20"/>
  <c r="AS394" i="20"/>
  <c r="AK486" i="20"/>
  <c r="AR382" i="20"/>
  <c r="AS402" i="20"/>
  <c r="AN171" i="20"/>
  <c r="AM347" i="20"/>
  <c r="AL196" i="20"/>
  <c r="AN486" i="20"/>
  <c r="AD82" i="20"/>
  <c r="AI106" i="20"/>
  <c r="AP139" i="20"/>
  <c r="AL171" i="20"/>
  <c r="AJ196" i="20"/>
  <c r="AO347" i="20"/>
  <c r="AO351" i="20"/>
  <c r="AD359" i="20"/>
  <c r="AJ390" i="20"/>
  <c r="AL394" i="20"/>
  <c r="AO398" i="20"/>
  <c r="AQ542" i="20"/>
  <c r="AM566" i="20"/>
  <c r="AP262" i="20"/>
  <c r="AQ270" i="20"/>
  <c r="AO342" i="20"/>
  <c r="AJ89" i="20"/>
  <c r="AF334" i="20"/>
  <c r="AD250" i="20"/>
  <c r="AQ282" i="20"/>
  <c r="AJ294" i="20"/>
  <c r="AP294" i="20"/>
  <c r="AP306" i="20"/>
  <c r="AP318" i="20"/>
  <c r="AR334" i="20"/>
  <c r="AM342" i="20"/>
  <c r="AN414" i="20"/>
  <c r="AL414" i="20"/>
  <c r="AK426" i="20"/>
  <c r="AM258" i="20"/>
  <c r="AO302" i="20"/>
  <c r="AF495" i="20"/>
  <c r="AK89" i="20"/>
  <c r="AN93" i="20"/>
  <c r="AK254" i="20"/>
  <c r="AP258" i="20"/>
  <c r="AO262" i="20"/>
  <c r="AL266" i="20"/>
  <c r="AI274" i="20"/>
  <c r="AL278" i="20"/>
  <c r="AQ286" i="20"/>
  <c r="AQ290" i="20"/>
  <c r="AP298" i="20"/>
  <c r="AR302" i="20"/>
  <c r="AN310" i="20"/>
  <c r="AR314" i="20"/>
  <c r="AK322" i="20"/>
  <c r="AI326" i="20"/>
  <c r="AP330" i="20"/>
  <c r="AO330" i="20"/>
  <c r="AI338" i="20"/>
  <c r="AQ411" i="20"/>
  <c r="AM418" i="20"/>
  <c r="AJ418" i="20"/>
  <c r="AD422" i="20"/>
  <c r="AM430" i="20"/>
  <c r="AJ462" i="20"/>
  <c r="AJ226" i="20"/>
  <c r="AJ434" i="20"/>
  <c r="AN82" i="20"/>
  <c r="AQ511" i="20"/>
  <c r="AI507" i="20"/>
  <c r="AD90" i="20"/>
  <c r="AN363" i="20"/>
  <c r="AQ379" i="20"/>
  <c r="AJ81" i="20"/>
  <c r="AJ121" i="20"/>
  <c r="AR518" i="20"/>
  <c r="AP74" i="20"/>
  <c r="AP383" i="20"/>
  <c r="AD129" i="20"/>
  <c r="AP210" i="20"/>
  <c r="AQ226" i="20"/>
  <c r="AN242" i="20"/>
  <c r="AR434" i="20"/>
  <c r="AD97" i="20"/>
  <c r="AP113" i="20"/>
  <c r="AS214" i="20"/>
  <c r="AJ230" i="20"/>
  <c r="AL238" i="20"/>
  <c r="AI246" i="20"/>
  <c r="AN446" i="20"/>
  <c r="AN458" i="20"/>
  <c r="AQ331" i="20"/>
  <c r="AF275" i="20"/>
  <c r="AO335" i="20"/>
  <c r="AF199" i="20"/>
  <c r="AF122" i="20"/>
  <c r="AK138" i="20"/>
  <c r="AQ154" i="20"/>
  <c r="AJ166" i="20"/>
  <c r="AQ179" i="20"/>
  <c r="AP187" i="20"/>
  <c r="AD199" i="20"/>
  <c r="AQ207" i="20"/>
  <c r="AS219" i="20"/>
  <c r="AQ227" i="20"/>
  <c r="AP239" i="20"/>
  <c r="AP251" i="20"/>
  <c r="AP271" i="20"/>
  <c r="AD295" i="20"/>
  <c r="AO307" i="20"/>
  <c r="AN410" i="20"/>
  <c r="AQ303" i="20"/>
  <c r="AO247" i="20"/>
  <c r="AI287" i="20"/>
  <c r="AK331" i="20"/>
  <c r="AS478" i="20"/>
  <c r="AL371" i="20"/>
  <c r="AS291" i="20"/>
  <c r="AS446" i="20"/>
  <c r="AQ138" i="20"/>
  <c r="AS470" i="20"/>
  <c r="AS351" i="20"/>
  <c r="AS547" i="20"/>
  <c r="AN427" i="20"/>
  <c r="AO403" i="20"/>
  <c r="AI547" i="20"/>
  <c r="AF354" i="20"/>
  <c r="AJ351" i="20"/>
  <c r="AS411" i="20"/>
  <c r="AL98" i="20"/>
  <c r="AK387" i="20"/>
  <c r="AP411" i="20"/>
  <c r="AM495" i="20"/>
  <c r="AI419" i="20"/>
  <c r="AS511" i="20"/>
  <c r="AD106" i="20"/>
  <c r="AD439" i="20"/>
  <c r="AQ351" i="20"/>
  <c r="AF375" i="20"/>
  <c r="AM74" i="20"/>
  <c r="AR319" i="20"/>
  <c r="AF231" i="20"/>
  <c r="AR291" i="20"/>
  <c r="AD207" i="20"/>
  <c r="AQ231" i="20"/>
  <c r="AD239" i="20"/>
  <c r="AL255" i="20"/>
  <c r="AK279" i="20"/>
  <c r="AP295" i="20"/>
  <c r="AO315" i="20"/>
  <c r="AQ335" i="20"/>
  <c r="AQ247" i="20"/>
  <c r="AJ299" i="20"/>
  <c r="AJ331" i="20"/>
  <c r="AO299" i="20"/>
  <c r="AL287" i="20"/>
  <c r="AD367" i="20"/>
  <c r="AO463" i="20"/>
  <c r="AO487" i="20"/>
  <c r="AN399" i="20"/>
  <c r="AT34" i="40"/>
  <c r="AN34" i="40"/>
  <c r="S7" i="36"/>
  <c r="L14" i="62"/>
  <c r="B12" i="86"/>
  <c r="AI17" i="40"/>
  <c r="I13" i="40" s="1"/>
  <c r="AK17" i="40"/>
  <c r="K13" i="40" s="1"/>
  <c r="AH28" i="37"/>
  <c r="AL28" i="37"/>
  <c r="AN28" i="37"/>
  <c r="AT21" i="40"/>
  <c r="AN31" i="40"/>
  <c r="AN23" i="40"/>
  <c r="AA33" i="37"/>
  <c r="D6" i="43" s="1"/>
  <c r="C12" i="43" s="1"/>
  <c r="AO28" i="37"/>
  <c r="AD28" i="37"/>
  <c r="AF28" i="37"/>
  <c r="I25" i="40"/>
  <c r="S8" i="36"/>
  <c r="J16" i="36"/>
  <c r="AR36" i="40"/>
  <c r="AC28" i="37"/>
  <c r="J19" i="36"/>
  <c r="B23" i="36"/>
  <c r="C11" i="36"/>
  <c r="S11" i="36" s="1"/>
  <c r="AN21" i="40"/>
  <c r="AT23" i="40"/>
  <c r="AJ28" i="37"/>
  <c r="AM28" i="37"/>
  <c r="AQ36" i="40"/>
  <c r="AL36" i="40"/>
  <c r="L12" i="40" s="1"/>
  <c r="AM17" i="40"/>
  <c r="AT31" i="40"/>
  <c r="AT24" i="40"/>
  <c r="AP36" i="40"/>
  <c r="AT33" i="40"/>
  <c r="J25" i="40"/>
  <c r="J15" i="36"/>
  <c r="AN32" i="40"/>
  <c r="C23" i="36"/>
  <c r="K23" i="36" s="1"/>
  <c r="S6" i="36"/>
  <c r="K14" i="62"/>
  <c r="J14" i="62"/>
  <c r="AK36" i="40"/>
  <c r="K12" i="40" s="1"/>
  <c r="AJ17" i="40"/>
  <c r="AL17" i="40"/>
  <c r="L13" i="40" s="1"/>
  <c r="AM36" i="40"/>
  <c r="AN35" i="40"/>
  <c r="AI36" i="40"/>
  <c r="I12" i="40" s="1"/>
  <c r="S10" i="36"/>
  <c r="X13" i="72"/>
  <c r="AJ36" i="40"/>
  <c r="J12" i="40" s="1"/>
  <c r="AB33" i="37"/>
  <c r="I21" i="36"/>
  <c r="AO36" i="40"/>
  <c r="K25" i="40" s="1"/>
  <c r="Y13" i="72"/>
  <c r="J13" i="40"/>
  <c r="AT35" i="40"/>
  <c r="L22" i="40"/>
  <c r="AN22" i="40"/>
  <c r="AT22" i="40"/>
  <c r="K20" i="40"/>
  <c r="K18" i="40"/>
  <c r="Z4" i="72" s="1"/>
  <c r="Z13" i="72" s="1"/>
  <c r="AT32" i="40"/>
  <c r="C125" i="37"/>
  <c r="AF50" i="20"/>
  <c r="AK50" i="20"/>
  <c r="AO50" i="20"/>
  <c r="AH50" i="20"/>
  <c r="AL50" i="20"/>
  <c r="AP50" i="20"/>
  <c r="AE50" i="20"/>
  <c r="AJ50" i="20"/>
  <c r="AN50" i="20"/>
  <c r="AD50" i="20"/>
  <c r="AI50" i="20"/>
  <c r="AM50" i="20"/>
  <c r="AQ50" i="20"/>
  <c r="AR50" i="20"/>
  <c r="AO160" i="20"/>
  <c r="AI58" i="20"/>
  <c r="AJ61" i="20"/>
  <c r="AR389" i="20"/>
  <c r="AR161" i="20"/>
  <c r="AS328" i="20"/>
  <c r="AR460" i="20"/>
  <c r="AK346" i="20"/>
  <c r="AS507" i="20"/>
  <c r="AS111" i="20"/>
  <c r="AJ356" i="20"/>
  <c r="AO419" i="20"/>
  <c r="AF103" i="20"/>
  <c r="AJ144" i="20"/>
  <c r="AR395" i="20"/>
  <c r="AS268" i="20"/>
  <c r="AO458" i="20"/>
  <c r="AK251" i="20"/>
  <c r="AL251" i="20"/>
  <c r="AO475" i="20"/>
  <c r="AD368" i="20"/>
  <c r="AS81" i="20"/>
  <c r="AQ248" i="20"/>
  <c r="AF555" i="20"/>
  <c r="AS399" i="20"/>
  <c r="AR479" i="20"/>
  <c r="AO191" i="20"/>
  <c r="AJ535" i="20"/>
  <c r="AJ499" i="20"/>
  <c r="AN447" i="20"/>
  <c r="AM316" i="20"/>
  <c r="AK171" i="20"/>
  <c r="AK482" i="20"/>
  <c r="AQ91" i="20"/>
  <c r="AM321" i="20"/>
  <c r="AR416" i="20"/>
  <c r="AQ341" i="20"/>
  <c r="AL333" i="20"/>
  <c r="AS313" i="20"/>
  <c r="AN305" i="20"/>
  <c r="AO289" i="20"/>
  <c r="AL281" i="20"/>
  <c r="AO265" i="20"/>
  <c r="AI257" i="20"/>
  <c r="AK249" i="20"/>
  <c r="AL229" i="20"/>
  <c r="AK221" i="20"/>
  <c r="AO205" i="20"/>
  <c r="AM197" i="20"/>
  <c r="AO189" i="20"/>
  <c r="AJ181" i="20"/>
  <c r="AM173" i="20"/>
  <c r="AO164" i="20"/>
  <c r="AJ156" i="20"/>
  <c r="AL140" i="20"/>
  <c r="AD132" i="20"/>
  <c r="AD124" i="20"/>
  <c r="AM100" i="20"/>
  <c r="AF189" i="20"/>
  <c r="AK197" i="20"/>
  <c r="AS420" i="20"/>
  <c r="AN261" i="20"/>
  <c r="AF241" i="20"/>
  <c r="AS120" i="20"/>
  <c r="AR273" i="20"/>
  <c r="AS436" i="20"/>
  <c r="AP329" i="20"/>
  <c r="AS321" i="20"/>
  <c r="AM317" i="20"/>
  <c r="AF309" i="20"/>
  <c r="AK293" i="20"/>
  <c r="AM277" i="20"/>
  <c r="AM269" i="20"/>
  <c r="AO261" i="20"/>
  <c r="AL245" i="20"/>
  <c r="AD233" i="20"/>
  <c r="AN225" i="20"/>
  <c r="AL217" i="20"/>
  <c r="AL209" i="20"/>
  <c r="AS201" i="20"/>
  <c r="AI193" i="20"/>
  <c r="AS185" i="20"/>
  <c r="AL177" i="20"/>
  <c r="AD56" i="20"/>
  <c r="AO68" i="20"/>
  <c r="AO131" i="20"/>
  <c r="AI61" i="20"/>
  <c r="AS326" i="20"/>
  <c r="AL73" i="20"/>
  <c r="AL551" i="20"/>
  <c r="AP69" i="20"/>
  <c r="AM236" i="20"/>
  <c r="AF149" i="20"/>
  <c r="AN368" i="20"/>
  <c r="AR507" i="20"/>
  <c r="AQ382" i="20"/>
  <c r="AP344" i="20"/>
  <c r="AI131" i="20"/>
  <c r="AR331" i="20"/>
  <c r="AM502" i="20"/>
  <c r="AO427" i="20"/>
  <c r="AL103" i="20"/>
  <c r="AS344" i="20"/>
  <c r="AF535" i="20"/>
  <c r="AD459" i="20"/>
  <c r="AP367" i="20"/>
  <c r="AN527" i="20"/>
  <c r="AI455" i="20"/>
  <c r="AP316" i="20"/>
  <c r="AS486" i="20"/>
  <c r="AF120" i="20"/>
  <c r="AO432" i="20"/>
  <c r="AO412" i="20"/>
  <c r="AS333" i="20"/>
  <c r="AR313" i="20"/>
  <c r="AN297" i="20"/>
  <c r="AM281" i="20"/>
  <c r="AM265" i="20"/>
  <c r="AR257" i="20"/>
  <c r="AK237" i="20"/>
  <c r="AL213" i="20"/>
  <c r="AL205" i="20"/>
  <c r="AR197" i="20"/>
  <c r="AD181" i="20"/>
  <c r="AN164" i="20"/>
  <c r="AK156" i="20"/>
  <c r="AD140" i="20"/>
  <c r="AM132" i="20"/>
  <c r="AJ100" i="20"/>
  <c r="AS382" i="20"/>
  <c r="AL193" i="20"/>
  <c r="AM273" i="20"/>
  <c r="AS221" i="20"/>
  <c r="AN116" i="20"/>
  <c r="AQ436" i="20"/>
  <c r="AN329" i="20"/>
  <c r="AR321" i="20"/>
  <c r="AQ309" i="20"/>
  <c r="AR285" i="20"/>
  <c r="AK277" i="20"/>
  <c r="AQ261" i="20"/>
  <c r="AM245" i="20"/>
  <c r="AO233" i="20"/>
  <c r="AS225" i="20"/>
  <c r="AR209" i="20"/>
  <c r="AD201" i="20"/>
  <c r="AM185" i="20"/>
  <c r="AN177" i="20"/>
  <c r="AO168" i="20"/>
  <c r="AN160" i="20"/>
  <c r="AK152" i="20"/>
  <c r="AR144" i="20"/>
  <c r="AM128" i="20"/>
  <c r="AL120" i="20"/>
  <c r="AJ106" i="20"/>
  <c r="AF152" i="20"/>
  <c r="AR173" i="20"/>
  <c r="AK420" i="20"/>
  <c r="AQ100" i="20"/>
  <c r="AJ329" i="20"/>
  <c r="AM573" i="20"/>
  <c r="AL565" i="20"/>
  <c r="AK525" i="20"/>
  <c r="AQ505" i="20"/>
  <c r="AR489" i="20"/>
  <c r="AO477" i="20"/>
  <c r="AR461" i="20"/>
  <c r="AP445" i="20"/>
  <c r="AS429" i="20"/>
  <c r="AO413" i="20"/>
  <c r="AK384" i="20"/>
  <c r="AL350" i="20"/>
  <c r="AL190" i="20"/>
  <c r="AF489" i="20"/>
  <c r="AR354" i="20"/>
  <c r="AD437" i="20"/>
  <c r="AN509" i="20"/>
  <c r="AD76" i="20"/>
  <c r="AD545" i="20"/>
  <c r="AS517" i="20"/>
  <c r="AM350" i="20"/>
  <c r="AQ413" i="20"/>
  <c r="AM453" i="20"/>
  <c r="AP571" i="20"/>
  <c r="AL567" i="20"/>
  <c r="AQ559" i="20"/>
  <c r="AQ551" i="20"/>
  <c r="AF437" i="20"/>
  <c r="AF389" i="20"/>
  <c r="AS541" i="20"/>
  <c r="AQ389" i="20"/>
  <c r="AM362" i="20"/>
  <c r="AM437" i="20"/>
  <c r="AP469" i="20"/>
  <c r="AM553" i="20"/>
  <c r="AN529" i="20"/>
  <c r="AM521" i="20"/>
  <c r="AR509" i="20"/>
  <c r="AN481" i="20"/>
  <c r="AN465" i="20"/>
  <c r="AR449" i="20"/>
  <c r="AN425" i="20"/>
  <c r="AM409" i="20"/>
  <c r="AO397" i="20"/>
  <c r="AS378" i="20"/>
  <c r="AR362" i="20"/>
  <c r="AP573" i="20"/>
  <c r="AS573" i="20"/>
  <c r="AF378" i="20"/>
  <c r="AL370" i="20"/>
  <c r="AD529" i="20"/>
  <c r="AI535" i="20"/>
  <c r="AM531" i="20"/>
  <c r="AL519" i="20"/>
  <c r="AI511" i="20"/>
  <c r="AD503" i="20"/>
  <c r="AP479" i="20"/>
  <c r="AL463" i="20"/>
  <c r="AM439" i="20"/>
  <c r="AN431" i="20"/>
  <c r="AD423" i="20"/>
  <c r="AM419" i="20"/>
  <c r="AD407" i="20"/>
  <c r="AM399" i="20"/>
  <c r="AM395" i="20"/>
  <c r="AO372" i="20"/>
  <c r="AD356" i="20"/>
  <c r="AO344" i="20"/>
  <c r="AF123" i="20"/>
  <c r="AR85" i="20"/>
  <c r="AQ348" i="20"/>
  <c r="AN312" i="20"/>
  <c r="AF248" i="20"/>
  <c r="AF328" i="20"/>
  <c r="AF395" i="20"/>
  <c r="AQ451" i="20"/>
  <c r="AF515" i="20"/>
  <c r="AF431" i="20"/>
  <c r="AS171" i="20"/>
  <c r="AR543" i="20"/>
  <c r="AR244" i="20"/>
  <c r="AS407" i="20"/>
  <c r="AM216" i="20"/>
  <c r="AL487" i="20"/>
  <c r="AM519" i="20"/>
  <c r="AI459" i="20"/>
  <c r="AJ543" i="20"/>
  <c r="AK155" i="20"/>
  <c r="AK399" i="20"/>
  <c r="AD547" i="20"/>
  <c r="AO569" i="20"/>
  <c r="AL561" i="20"/>
  <c r="AP541" i="20"/>
  <c r="AF485" i="20"/>
  <c r="AL59" i="20"/>
  <c r="AO282" i="20"/>
  <c r="AR473" i="20"/>
  <c r="AQ273" i="20"/>
  <c r="AJ475" i="20"/>
  <c r="AS384" i="20"/>
  <c r="AF224" i="20"/>
  <c r="AP551" i="20"/>
  <c r="AQ272" i="20"/>
  <c r="AS367" i="20"/>
  <c r="AR547" i="20"/>
  <c r="AF316" i="20"/>
  <c r="AN336" i="20"/>
  <c r="AO348" i="20"/>
  <c r="AD567" i="20"/>
  <c r="AO535" i="20"/>
  <c r="AP423" i="20"/>
  <c r="AJ188" i="20"/>
  <c r="AM177" i="20"/>
  <c r="AM432" i="20"/>
  <c r="AM341" i="20"/>
  <c r="AJ313" i="20"/>
  <c r="AN289" i="20"/>
  <c r="AD273" i="20"/>
  <c r="AK257" i="20"/>
  <c r="AK229" i="20"/>
  <c r="AP213" i="20"/>
  <c r="AI197" i="20"/>
  <c r="AR181" i="20"/>
  <c r="AS164" i="20"/>
  <c r="AS148" i="20"/>
  <c r="AK124" i="20"/>
  <c r="AM82" i="20"/>
  <c r="AJ177" i="20"/>
  <c r="AR106" i="20"/>
  <c r="AL197" i="20"/>
  <c r="AR436" i="20"/>
  <c r="AK329" i="20"/>
  <c r="AR317" i="20"/>
  <c r="AL293" i="20"/>
  <c r="AD269" i="20"/>
  <c r="AL253" i="20"/>
  <c r="AK233" i="20"/>
  <c r="AQ217" i="20"/>
  <c r="AQ201" i="20"/>
  <c r="AO193" i="20"/>
  <c r="AK168" i="20"/>
  <c r="AK160" i="20"/>
  <c r="AP152" i="20"/>
  <c r="AD136" i="20"/>
  <c r="AS128" i="20"/>
  <c r="AS104" i="20"/>
  <c r="AS189" i="20"/>
  <c r="AN432" i="20"/>
  <c r="AQ277" i="20"/>
  <c r="AP301" i="20"/>
  <c r="AP565" i="20"/>
  <c r="AF557" i="20"/>
  <c r="AP505" i="20"/>
  <c r="AO485" i="20"/>
  <c r="AP461" i="20"/>
  <c r="AO437" i="20"/>
  <c r="AS421" i="20"/>
  <c r="AL384" i="20"/>
  <c r="AS350" i="20"/>
  <c r="AF350" i="20"/>
  <c r="AS362" i="20"/>
  <c r="AR441" i="20"/>
  <c r="AF441" i="20"/>
  <c r="AO573" i="20"/>
  <c r="AO493" i="20"/>
  <c r="AO393" i="20"/>
  <c r="AQ461" i="20"/>
  <c r="AR571" i="20"/>
  <c r="AN559" i="20"/>
  <c r="AN551" i="20"/>
  <c r="AF559" i="20"/>
  <c r="AK571" i="20"/>
  <c r="AR370" i="20"/>
  <c r="AR563" i="20"/>
  <c r="AK178" i="20"/>
  <c r="AQ553" i="20"/>
  <c r="AR529" i="20"/>
  <c r="AL513" i="20"/>
  <c r="AO501" i="20"/>
  <c r="AP457" i="20"/>
  <c r="AI441" i="20"/>
  <c r="AP417" i="20"/>
  <c r="AL389" i="20"/>
  <c r="AM370" i="20"/>
  <c r="AR111" i="20"/>
  <c r="AL421" i="20"/>
  <c r="AK405" i="20"/>
  <c r="AS561" i="20"/>
  <c r="AD535" i="20"/>
  <c r="AI519" i="20"/>
  <c r="AO515" i="20"/>
  <c r="AO499" i="20"/>
  <c r="AP467" i="20"/>
  <c r="AN439" i="20"/>
  <c r="AR431" i="20"/>
  <c r="AP419" i="20"/>
  <c r="AN415" i="20"/>
  <c r="AO399" i="20"/>
  <c r="AL376" i="20"/>
  <c r="AK356" i="20"/>
  <c r="AI336" i="20"/>
  <c r="AN85" i="20"/>
  <c r="AQ300" i="20"/>
  <c r="AN386" i="20"/>
  <c r="AQ296" i="20"/>
  <c r="AF368" i="20"/>
  <c r="AS475" i="20"/>
  <c r="AF216" i="20"/>
  <c r="AJ105" i="20"/>
  <c r="AJ244" i="20"/>
  <c r="AN356" i="20"/>
  <c r="AS447" i="20"/>
  <c r="AN463" i="20"/>
  <c r="AJ443" i="20"/>
  <c r="AJ503" i="20"/>
  <c r="AL212" i="20"/>
  <c r="AR372" i="20"/>
  <c r="AL569" i="20"/>
  <c r="AR561" i="20"/>
  <c r="AJ541" i="20"/>
  <c r="AJ525" i="20"/>
  <c r="AO517" i="20"/>
  <c r="AK501" i="20"/>
  <c r="AL481" i="20"/>
  <c r="AK473" i="20"/>
  <c r="AO461" i="20"/>
  <c r="AN453" i="20"/>
  <c r="AO445" i="20"/>
  <c r="AI378" i="20"/>
  <c r="AD350" i="20"/>
  <c r="AR92" i="20"/>
  <c r="AJ555" i="20"/>
  <c r="AM470" i="20"/>
  <c r="AO454" i="20"/>
  <c r="AL442" i="20"/>
  <c r="AI375" i="20"/>
  <c r="AI359" i="20"/>
  <c r="AD351" i="20"/>
  <c r="AI307" i="20"/>
  <c r="AN187" i="20"/>
  <c r="AF359" i="20"/>
  <c r="AF303" i="20"/>
  <c r="AR179" i="20"/>
  <c r="AM255" i="20"/>
  <c r="AR462" i="20"/>
  <c r="AO385" i="20"/>
  <c r="AQ462" i="20"/>
  <c r="AR478" i="20"/>
  <c r="AI466" i="20"/>
  <c r="AQ458" i="20"/>
  <c r="AS379" i="20"/>
  <c r="AJ363" i="20"/>
  <c r="AI363" i="20"/>
  <c r="AR295" i="20"/>
  <c r="AO231" i="20"/>
  <c r="AN199" i="20"/>
  <c r="AF170" i="20"/>
  <c r="AP142" i="20"/>
  <c r="AS371" i="20"/>
  <c r="AK207" i="20"/>
  <c r="AF462" i="20"/>
  <c r="AL486" i="20"/>
  <c r="AQ371" i="20"/>
  <c r="AR351" i="20"/>
  <c r="AQ442" i="20"/>
  <c r="AI297" i="20"/>
  <c r="AP333" i="20"/>
  <c r="AP321" i="20"/>
  <c r="AD305" i="20"/>
  <c r="AJ293" i="20"/>
  <c r="AN269" i="20"/>
  <c r="AO249" i="20"/>
  <c r="AJ237" i="20"/>
  <c r="AJ217" i="20"/>
  <c r="AR124" i="20"/>
  <c r="AK104" i="20"/>
  <c r="AR100" i="20"/>
  <c r="AF343" i="20"/>
  <c r="AL331" i="20"/>
  <c r="AN331" i="20"/>
  <c r="AD311" i="20"/>
  <c r="AL311" i="20"/>
  <c r="AF299" i="20"/>
  <c r="AK287" i="20"/>
  <c r="AS287" i="20"/>
  <c r="AQ275" i="20"/>
  <c r="AK263" i="20"/>
  <c r="AN247" i="20"/>
  <c r="AI211" i="20"/>
  <c r="AL211" i="20"/>
  <c r="AO291" i="20"/>
  <c r="AM211" i="20"/>
  <c r="AF191" i="20"/>
  <c r="AO275" i="20"/>
  <c r="AN130" i="20"/>
  <c r="AQ410" i="20"/>
  <c r="AP410" i="20"/>
  <c r="AD339" i="20"/>
  <c r="AJ339" i="20"/>
  <c r="AM335" i="20"/>
  <c r="AD335" i="20"/>
  <c r="AL319" i="20"/>
  <c r="AJ319" i="20"/>
  <c r="AM315" i="20"/>
  <c r="AK307" i="20"/>
  <c r="AM307" i="20"/>
  <c r="AK303" i="20"/>
  <c r="AL295" i="20"/>
  <c r="AK295" i="20"/>
  <c r="AP291" i="20"/>
  <c r="AP283" i="20"/>
  <c r="AK283" i="20"/>
  <c r="AP279" i="20"/>
  <c r="AD271" i="20"/>
  <c r="AQ267" i="20"/>
  <c r="AP255" i="20"/>
  <c r="AD255" i="20"/>
  <c r="AO251" i="20"/>
  <c r="AD243" i="20"/>
  <c r="AF243" i="20"/>
  <c r="AK239" i="20"/>
  <c r="AQ239" i="20"/>
  <c r="AJ235" i="20"/>
  <c r="AI235" i="20"/>
  <c r="AD231" i="20"/>
  <c r="AS231" i="20"/>
  <c r="AI227" i="20"/>
  <c r="AM227" i="20"/>
  <c r="AJ223" i="20"/>
  <c r="AM219" i="20"/>
  <c r="AL219" i="20"/>
  <c r="AD215" i="20"/>
  <c r="AP207" i="20"/>
  <c r="AJ207" i="20"/>
  <c r="AI203" i="20"/>
  <c r="AF203" i="20"/>
  <c r="AK199" i="20"/>
  <c r="AL195" i="20"/>
  <c r="AF195" i="20"/>
  <c r="AP191" i="20"/>
  <c r="AJ187" i="20"/>
  <c r="AI187" i="20"/>
  <c r="AS183" i="20"/>
  <c r="AD179" i="20"/>
  <c r="AP179" i="20"/>
  <c r="AP175" i="20"/>
  <c r="AO175" i="20"/>
  <c r="AQ170" i="20"/>
  <c r="AL166" i="20"/>
  <c r="AS166" i="20"/>
  <c r="AQ162" i="20"/>
  <c r="AN162" i="20"/>
  <c r="AD154" i="20"/>
  <c r="AL154" i="20"/>
  <c r="AK150" i="20"/>
  <c r="AQ146" i="20"/>
  <c r="AR142" i="20"/>
  <c r="AD142" i="20"/>
  <c r="AI138" i="20"/>
  <c r="AK134" i="20"/>
  <c r="AN134" i="20"/>
  <c r="AJ130" i="20"/>
  <c r="AD122" i="20"/>
  <c r="AL122" i="20"/>
  <c r="AJ114" i="20"/>
  <c r="AI114" i="20"/>
  <c r="AR96" i="20"/>
  <c r="AD112" i="20"/>
  <c r="AS142" i="20"/>
  <c r="AQ307" i="20"/>
  <c r="AM275" i="20"/>
  <c r="AN343" i="20"/>
  <c r="AQ122" i="20"/>
  <c r="AO187" i="20"/>
  <c r="AK247" i="20"/>
  <c r="AF271" i="20"/>
  <c r="AF255" i="20"/>
  <c r="AL267" i="20"/>
  <c r="AR267" i="20"/>
  <c r="AF323" i="20"/>
  <c r="AQ195" i="20"/>
  <c r="AJ96" i="20"/>
  <c r="AR219" i="20"/>
  <c r="AI343" i="20"/>
  <c r="AS311" i="20"/>
  <c r="AL142" i="20"/>
  <c r="AN166" i="20"/>
  <c r="AM199" i="20"/>
  <c r="AP231" i="20"/>
  <c r="AD170" i="20"/>
  <c r="AJ573" i="20"/>
  <c r="AJ557" i="20"/>
  <c r="AJ521" i="20"/>
  <c r="AP425" i="20"/>
  <c r="AJ341" i="20"/>
  <c r="AI289" i="20"/>
  <c r="AJ281" i="20"/>
  <c r="AJ261" i="20"/>
  <c r="AI237" i="20"/>
  <c r="AK136" i="20"/>
  <c r="AJ120" i="20"/>
  <c r="AJ233" i="20"/>
  <c r="AJ431" i="20"/>
  <c r="AJ395" i="20"/>
  <c r="AI376" i="20"/>
  <c r="AJ470" i="20"/>
  <c r="AD466" i="20"/>
  <c r="AJ458" i="20"/>
  <c r="AL458" i="20"/>
  <c r="AI450" i="20"/>
  <c r="AK450" i="20"/>
  <c r="AR446" i="20"/>
  <c r="AD442" i="20"/>
  <c r="AL434" i="20"/>
  <c r="AJ74" i="20"/>
  <c r="AL470" i="20"/>
  <c r="AM504" i="20"/>
  <c r="AK379" i="20"/>
  <c r="AS300" i="20"/>
  <c r="AN208" i="20"/>
  <c r="AN558" i="20"/>
  <c r="AD388" i="20"/>
  <c r="AI381" i="20"/>
  <c r="AR381" i="20"/>
  <c r="AI373" i="20"/>
  <c r="AF373" i="20"/>
  <c r="AL369" i="20"/>
  <c r="AI365" i="20"/>
  <c r="AP365" i="20"/>
  <c r="AO361" i="20"/>
  <c r="AN361" i="20"/>
  <c r="AN246" i="20"/>
  <c r="AD246" i="20"/>
  <c r="AK425" i="20"/>
  <c r="AO154" i="20"/>
  <c r="AN308" i="20"/>
  <c r="AQ543" i="20"/>
  <c r="AL133" i="20"/>
  <c r="AQ288" i="20"/>
  <c r="AP475" i="20"/>
  <c r="AN503" i="20"/>
  <c r="AN502" i="20"/>
  <c r="AS122" i="20"/>
  <c r="AM312" i="20"/>
  <c r="AF451" i="20"/>
  <c r="AK344" i="20"/>
  <c r="AL515" i="20"/>
  <c r="AR316" i="20"/>
  <c r="AJ316" i="20"/>
  <c r="AK424" i="20"/>
  <c r="AL325" i="20"/>
  <c r="AP297" i="20"/>
  <c r="AP265" i="20"/>
  <c r="AS249" i="20"/>
  <c r="AM213" i="20"/>
  <c r="AN189" i="20"/>
  <c r="AN173" i="20"/>
  <c r="AD148" i="20"/>
  <c r="AL116" i="20"/>
  <c r="AS229" i="20"/>
  <c r="AM253" i="20"/>
  <c r="AS152" i="20"/>
  <c r="AF420" i="20"/>
  <c r="AO317" i="20"/>
  <c r="AQ285" i="20"/>
  <c r="AK261" i="20"/>
  <c r="AM233" i="20"/>
  <c r="AS217" i="20"/>
  <c r="AM193" i="20"/>
  <c r="AR177" i="20"/>
  <c r="AS160" i="20"/>
  <c r="AF144" i="20"/>
  <c r="AD128" i="20"/>
  <c r="AF253" i="20"/>
  <c r="AR249" i="20"/>
  <c r="AI181" i="20"/>
  <c r="AD561" i="20"/>
  <c r="AP557" i="20"/>
  <c r="AP517" i="20"/>
  <c r="AM477" i="20"/>
  <c r="AS453" i="20"/>
  <c r="AF429" i="20"/>
  <c r="AP366" i="20"/>
  <c r="AF214" i="20"/>
  <c r="AQ545" i="20"/>
  <c r="AL525" i="20"/>
  <c r="AF366" i="20"/>
  <c r="AO541" i="20"/>
  <c r="AD413" i="20"/>
  <c r="AJ445" i="20"/>
  <c r="AI563" i="20"/>
  <c r="AP555" i="20"/>
  <c r="AF445" i="20"/>
  <c r="AS441" i="20"/>
  <c r="AI346" i="20"/>
  <c r="AJ569" i="20"/>
  <c r="AR537" i="20"/>
  <c r="AS513" i="20"/>
  <c r="AN473" i="20"/>
  <c r="AL449" i="20"/>
  <c r="AQ409" i="20"/>
  <c r="AR378" i="20"/>
  <c r="AF186" i="20"/>
  <c r="AM425" i="20"/>
  <c r="AK358" i="20"/>
  <c r="AI543" i="20"/>
  <c r="AD519" i="20"/>
  <c r="AO507" i="20"/>
  <c r="AJ479" i="20"/>
  <c r="AO435" i="20"/>
  <c r="AM427" i="20"/>
  <c r="AM415" i="20"/>
  <c r="AK395" i="20"/>
  <c r="AN364" i="20"/>
  <c r="AJ344" i="20"/>
  <c r="AK81" i="20"/>
  <c r="AQ527" i="20"/>
  <c r="AR272" i="20"/>
  <c r="AR419" i="20"/>
  <c r="AR515" i="20"/>
  <c r="AF212" i="20"/>
  <c r="AJ360" i="20"/>
  <c r="AF415" i="20"/>
  <c r="AO467" i="20"/>
  <c r="AL451" i="20"/>
  <c r="AK85" i="20"/>
  <c r="AO368" i="20"/>
  <c r="AI569" i="20"/>
  <c r="AO553" i="20"/>
  <c r="AM529" i="20"/>
  <c r="AM509" i="20"/>
  <c r="AL485" i="20"/>
  <c r="AL473" i="20"/>
  <c r="AD457" i="20"/>
  <c r="AN445" i="20"/>
  <c r="AP393" i="20"/>
  <c r="AD346" i="20"/>
  <c r="AN573" i="20"/>
  <c r="AD470" i="20"/>
  <c r="AF454" i="20"/>
  <c r="AF442" i="20"/>
  <c r="AQ359" i="20"/>
  <c r="AJ347" i="20"/>
  <c r="AQ271" i="20"/>
  <c r="AP122" i="20"/>
  <c r="AF482" i="20"/>
  <c r="AI486" i="20"/>
  <c r="AS235" i="20"/>
  <c r="AF470" i="20"/>
  <c r="AM494" i="20"/>
  <c r="AJ466" i="20"/>
  <c r="AL446" i="20"/>
  <c r="AP379" i="20"/>
  <c r="AR363" i="20"/>
  <c r="AQ291" i="20"/>
  <c r="AO223" i="20"/>
  <c r="AJ195" i="20"/>
  <c r="AF486" i="20"/>
  <c r="AO323" i="20"/>
  <c r="AF347" i="20"/>
  <c r="AI482" i="20"/>
  <c r="AS494" i="20"/>
  <c r="AL379" i="20"/>
  <c r="AD341" i="20"/>
  <c r="AD325" i="20"/>
  <c r="AD317" i="20"/>
  <c r="AI285" i="20"/>
  <c r="AI253" i="20"/>
  <c r="AL241" i="20"/>
  <c r="AI217" i="20"/>
  <c r="AP120" i="20"/>
  <c r="AL100" i="20"/>
  <c r="AP343" i="20"/>
  <c r="AS331" i="20"/>
  <c r="AK311" i="20"/>
  <c r="AR311" i="20"/>
  <c r="AP299" i="20"/>
  <c r="AO287" i="20"/>
  <c r="AL275" i="20"/>
  <c r="AM247" i="20"/>
  <c r="AL247" i="20"/>
  <c r="AQ211" i="20"/>
  <c r="AI154" i="20"/>
  <c r="AD410" i="20"/>
  <c r="AS343" i="20"/>
  <c r="AR410" i="20"/>
  <c r="AL410" i="20"/>
  <c r="AL339" i="20"/>
  <c r="AL335" i="20"/>
  <c r="AR335" i="20"/>
  <c r="AN319" i="20"/>
  <c r="AK315" i="20"/>
  <c r="AL307" i="20"/>
  <c r="AL303" i="20"/>
  <c r="AS303" i="20"/>
  <c r="AF295" i="20"/>
  <c r="AL291" i="20"/>
  <c r="AJ283" i="20"/>
  <c r="AR279" i="20"/>
  <c r="AN271" i="20"/>
  <c r="AS267" i="20"/>
  <c r="AQ255" i="20"/>
  <c r="AS251" i="20"/>
  <c r="AP243" i="20"/>
  <c r="AL243" i="20"/>
  <c r="AS239" i="20"/>
  <c r="AL235" i="20"/>
  <c r="AK235" i="20"/>
  <c r="AN231" i="20"/>
  <c r="AJ227" i="20"/>
  <c r="AD223" i="20"/>
  <c r="AD219" i="20"/>
  <c r="AO215" i="20"/>
  <c r="AP215" i="20"/>
  <c r="AM207" i="20"/>
  <c r="AD203" i="20"/>
  <c r="AP199" i="20"/>
  <c r="AP195" i="20"/>
  <c r="AK191" i="20"/>
  <c r="AN191" i="20"/>
  <c r="AQ187" i="20"/>
  <c r="AF183" i="20"/>
  <c r="AL179" i="20"/>
  <c r="AK175" i="20"/>
  <c r="AN175" i="20"/>
  <c r="AQ166" i="20"/>
  <c r="AM166" i="20"/>
  <c r="AJ162" i="20"/>
  <c r="AJ158" i="20"/>
  <c r="AM154" i="20"/>
  <c r="AJ150" i="20"/>
  <c r="AR146" i="20"/>
  <c r="AD138" i="20"/>
  <c r="AP138" i="20"/>
  <c r="AD134" i="20"/>
  <c r="AQ130" i="20"/>
  <c r="AN122" i="20"/>
  <c r="AR114" i="20"/>
  <c r="AK96" i="20"/>
  <c r="AS89" i="20"/>
  <c r="AF227" i="20"/>
  <c r="AI267" i="20"/>
  <c r="AS315" i="20"/>
  <c r="AL114" i="20"/>
  <c r="AJ203" i="20"/>
  <c r="AJ138" i="20"/>
  <c r="AS170" i="20"/>
  <c r="AI271" i="20"/>
  <c r="AR283" i="20"/>
  <c r="AS187" i="20"/>
  <c r="AI251" i="20"/>
  <c r="AS307" i="20"/>
  <c r="AR303" i="20"/>
  <c r="AN146" i="20"/>
  <c r="AM187" i="20"/>
  <c r="AK219" i="20"/>
  <c r="AD114" i="20"/>
  <c r="AK569" i="20"/>
  <c r="AI529" i="20"/>
  <c r="AI409" i="20"/>
  <c r="AO333" i="20"/>
  <c r="AP285" i="20"/>
  <c r="AI261" i="20"/>
  <c r="AI225" i="20"/>
  <c r="AL128" i="20"/>
  <c r="AL136" i="20"/>
  <c r="AK403" i="20"/>
  <c r="AJ376" i="20"/>
  <c r="AO470" i="20"/>
  <c r="AO462" i="20"/>
  <c r="AI458" i="20"/>
  <c r="AQ450" i="20"/>
  <c r="AD446" i="20"/>
  <c r="AO442" i="20"/>
  <c r="AF101" i="20"/>
  <c r="AQ73" i="20"/>
  <c r="AO508" i="20"/>
  <c r="AR379" i="20"/>
  <c r="AL272" i="20"/>
  <c r="AP252" i="20"/>
  <c r="AR550" i="20"/>
  <c r="AN388" i="20"/>
  <c r="AK381" i="20"/>
  <c r="AP373" i="20"/>
  <c r="AL373" i="20"/>
  <c r="AK369" i="20"/>
  <c r="AS365" i="20"/>
  <c r="AM361" i="20"/>
  <c r="AS342" i="20"/>
  <c r="AK246" i="20"/>
  <c r="AO238" i="20"/>
  <c r="AL230" i="20"/>
  <c r="AP230" i="20"/>
  <c r="AQ222" i="20"/>
  <c r="AO222" i="20"/>
  <c r="AD214" i="20"/>
  <c r="AN206" i="20"/>
  <c r="AQ206" i="20"/>
  <c r="AJ198" i="20"/>
  <c r="AM190" i="20"/>
  <c r="AP182" i="20"/>
  <c r="AI174" i="20"/>
  <c r="AO174" i="20"/>
  <c r="AM161" i="20"/>
  <c r="AM145" i="20"/>
  <c r="AM137" i="20"/>
  <c r="AJ133" i="20"/>
  <c r="AL125" i="20"/>
  <c r="AM113" i="20"/>
  <c r="AK113" i="20"/>
  <c r="AI107" i="20"/>
  <c r="AP95" i="20"/>
  <c r="AJ80" i="20"/>
  <c r="AJ71" i="20"/>
  <c r="AQ71" i="20"/>
  <c r="AS72" i="20"/>
  <c r="AD72" i="20"/>
  <c r="AQ109" i="20"/>
  <c r="AF434" i="20"/>
  <c r="AS206" i="20"/>
  <c r="AN79" i="20"/>
  <c r="AR174" i="20"/>
  <c r="AS73" i="20"/>
  <c r="AK542" i="20"/>
  <c r="AD526" i="20"/>
  <c r="AS526" i="20"/>
  <c r="AP518" i="20"/>
  <c r="AL510" i="20"/>
  <c r="AM434" i="20"/>
  <c r="AD377" i="20"/>
  <c r="AO377" i="20"/>
  <c r="AL290" i="20"/>
  <c r="AS250" i="20"/>
  <c r="AK242" i="20"/>
  <c r="AK234" i="20"/>
  <c r="AR226" i="20"/>
  <c r="AI218" i="20"/>
  <c r="AQ218" i="20"/>
  <c r="AD210" i="20"/>
  <c r="AI202" i="20"/>
  <c r="AR202" i="20"/>
  <c r="AL194" i="20"/>
  <c r="AN186" i="20"/>
  <c r="AM178" i="20"/>
  <c r="AP165" i="20"/>
  <c r="AI157" i="20"/>
  <c r="AI149" i="20"/>
  <c r="AP141" i="20"/>
  <c r="AQ141" i="20"/>
  <c r="AL129" i="20"/>
  <c r="AI121" i="20"/>
  <c r="AI117" i="20"/>
  <c r="AK117" i="20"/>
  <c r="AQ101" i="20"/>
  <c r="AI83" i="20"/>
  <c r="AD83" i="20"/>
  <c r="AK383" i="20"/>
  <c r="AF108" i="20"/>
  <c r="AI75" i="20"/>
  <c r="AF74" i="20"/>
  <c r="AM73" i="20"/>
  <c r="AR73" i="20"/>
  <c r="AQ145" i="20"/>
  <c r="AO214" i="20"/>
  <c r="AI111" i="20"/>
  <c r="AF117" i="20"/>
  <c r="AD109" i="20"/>
  <c r="AJ97" i="20"/>
  <c r="AM95" i="20"/>
  <c r="AQ76" i="20"/>
  <c r="AF534" i="20"/>
  <c r="AM75" i="20"/>
  <c r="AQ246" i="20"/>
  <c r="AN157" i="20"/>
  <c r="AD74" i="20"/>
  <c r="AQ198" i="20"/>
  <c r="AJ161" i="20"/>
  <c r="AM388" i="20"/>
  <c r="AL242" i="20"/>
  <c r="AK129" i="20"/>
  <c r="AQ111" i="20"/>
  <c r="AF202" i="20"/>
  <c r="AO182" i="20"/>
  <c r="AI108" i="20"/>
  <c r="AF365" i="20"/>
  <c r="AI76" i="20"/>
  <c r="AS238" i="20"/>
  <c r="AJ78" i="20"/>
  <c r="AK79" i="20"/>
  <c r="AS373" i="20"/>
  <c r="AL157" i="20"/>
  <c r="AR172" i="20"/>
  <c r="AR206" i="20"/>
  <c r="AR137" i="20"/>
  <c r="AJ83" i="20"/>
  <c r="AN129" i="20"/>
  <c r="AJ383" i="20"/>
  <c r="AL428" i="20"/>
  <c r="AD85" i="20"/>
  <c r="AQ115" i="20"/>
  <c r="AK216" i="20"/>
  <c r="AO375" i="20"/>
  <c r="AI385" i="20"/>
  <c r="AK340" i="20"/>
  <c r="AM520" i="20"/>
  <c r="AI436" i="20"/>
  <c r="AI424" i="20"/>
  <c r="AP420" i="20"/>
  <c r="AP385" i="20"/>
  <c r="AS284" i="20"/>
  <c r="AM272" i="20"/>
  <c r="AD268" i="20"/>
  <c r="AN268" i="20"/>
  <c r="AM260" i="20"/>
  <c r="AO252" i="20"/>
  <c r="AJ248" i="20"/>
  <c r="AP240" i="20"/>
  <c r="AF127" i="20"/>
  <c r="AS240" i="20"/>
  <c r="AF264" i="20"/>
  <c r="AD328" i="20"/>
  <c r="AF188" i="20"/>
  <c r="AF406" i="20"/>
  <c r="AK236" i="20"/>
  <c r="AK367" i="20"/>
  <c r="AN367" i="20"/>
  <c r="AL432" i="20"/>
  <c r="AS524" i="20"/>
  <c r="AL312" i="20"/>
  <c r="AS232" i="20"/>
  <c r="AR428" i="20"/>
  <c r="AM328" i="20"/>
  <c r="AD81" i="20"/>
  <c r="AJ367" i="20"/>
  <c r="AJ385" i="20"/>
  <c r="AI512" i="20"/>
  <c r="AJ524" i="20"/>
  <c r="AM264" i="20"/>
  <c r="AJ252" i="20"/>
  <c r="AS501" i="20"/>
  <c r="AO465" i="20"/>
  <c r="AD499" i="20"/>
  <c r="AJ439" i="20"/>
  <c r="AF504" i="20"/>
  <c r="AD496" i="20"/>
  <c r="AD504" i="20"/>
  <c r="AD508" i="20"/>
  <c r="AL502" i="20"/>
  <c r="AI264" i="20"/>
  <c r="AI260" i="20"/>
  <c r="AD248" i="20"/>
  <c r="AF382" i="20"/>
  <c r="AR91" i="20"/>
  <c r="AJ511" i="20"/>
  <c r="AO496" i="20"/>
  <c r="AR508" i="20"/>
  <c r="AQ513" i="20"/>
  <c r="AN87" i="20"/>
  <c r="AR87" i="20"/>
  <c r="AO511" i="20"/>
  <c r="AL496" i="20"/>
  <c r="AS504" i="20"/>
  <c r="AO513" i="20"/>
  <c r="AI432" i="20"/>
  <c r="AP489" i="20"/>
  <c r="AM481" i="20"/>
  <c r="AI469" i="20"/>
  <c r="AJ461" i="20"/>
  <c r="AD453" i="20"/>
  <c r="AK434" i="20"/>
  <c r="AL388" i="20"/>
  <c r="AP388" i="20"/>
  <c r="AD361" i="20"/>
  <c r="AJ234" i="20"/>
  <c r="AJ222" i="20"/>
  <c r="AL210" i="20"/>
  <c r="AJ202" i="20"/>
  <c r="AD186" i="20"/>
  <c r="AD182" i="20"/>
  <c r="AI141" i="20"/>
  <c r="AP137" i="20"/>
  <c r="AP101" i="20"/>
  <c r="AI462" i="20"/>
  <c r="AI435" i="20"/>
  <c r="AS553" i="20"/>
  <c r="AJ537" i="20"/>
  <c r="AI572" i="20"/>
  <c r="AL568" i="20"/>
  <c r="AK568" i="20"/>
  <c r="AF568" i="20"/>
  <c r="AS560" i="20"/>
  <c r="AK560" i="20"/>
  <c r="AO560" i="20"/>
  <c r="AS556" i="20"/>
  <c r="AM556" i="20"/>
  <c r="AJ548" i="20"/>
  <c r="AM544" i="20"/>
  <c r="AS544" i="20"/>
  <c r="AO536" i="20"/>
  <c r="AL536" i="20"/>
  <c r="AI536" i="20"/>
  <c r="AP528" i="20"/>
  <c r="AI495" i="20"/>
  <c r="AJ495" i="20"/>
  <c r="AD488" i="20"/>
  <c r="AM488" i="20"/>
  <c r="AL484" i="20"/>
  <c r="AP484" i="20"/>
  <c r="AS484" i="20"/>
  <c r="AD476" i="20"/>
  <c r="AQ476" i="20"/>
  <c r="AL476" i="20"/>
  <c r="AL472" i="20"/>
  <c r="AQ472" i="20"/>
  <c r="AO472" i="20"/>
  <c r="AL468" i="20"/>
  <c r="AQ468" i="20"/>
  <c r="AS468" i="20"/>
  <c r="AK460" i="20"/>
  <c r="AP460" i="20"/>
  <c r="AM456" i="20"/>
  <c r="AJ452" i="20"/>
  <c r="AL452" i="20"/>
  <c r="AM452" i="20"/>
  <c r="AN448" i="20"/>
  <c r="AS448" i="20"/>
  <c r="AQ444" i="20"/>
  <c r="AL440" i="20"/>
  <c r="AM440" i="20"/>
  <c r="AI433" i="20"/>
  <c r="AJ433" i="20"/>
  <c r="AP433" i="20"/>
  <c r="AI430" i="20"/>
  <c r="AD430" i="20"/>
  <c r="AF430" i="20"/>
  <c r="AI422" i="20"/>
  <c r="AQ422" i="20"/>
  <c r="AK422" i="20"/>
  <c r="AI418" i="20"/>
  <c r="AR418" i="20"/>
  <c r="AQ418" i="20"/>
  <c r="AI411" i="20"/>
  <c r="AD411" i="20"/>
  <c r="AL408" i="20"/>
  <c r="AO408" i="20"/>
  <c r="AF408" i="20"/>
  <c r="AQ400" i="20"/>
  <c r="AL400" i="20"/>
  <c r="AR400" i="20"/>
  <c r="AN396" i="20"/>
  <c r="AP396" i="20"/>
  <c r="AI357" i="20"/>
  <c r="AL357" i="20"/>
  <c r="AQ357" i="20"/>
  <c r="AI349" i="20"/>
  <c r="AN349" i="20"/>
  <c r="AM349" i="20"/>
  <c r="AI345" i="20"/>
  <c r="AN345" i="20"/>
  <c r="AM345" i="20"/>
  <c r="AK338" i="20"/>
  <c r="AD338" i="20"/>
  <c r="AQ338" i="20"/>
  <c r="AJ330" i="20"/>
  <c r="AS330" i="20"/>
  <c r="AP326" i="20"/>
  <c r="AO326" i="20"/>
  <c r="AK326" i="20"/>
  <c r="AN322" i="20"/>
  <c r="AQ322" i="20"/>
  <c r="AI314" i="20"/>
  <c r="AQ314" i="20"/>
  <c r="AS314" i="20"/>
  <c r="AP310" i="20"/>
  <c r="AI310" i="20"/>
  <c r="AF310" i="20"/>
  <c r="AI302" i="20"/>
  <c r="AL302" i="20"/>
  <c r="AK298" i="20"/>
  <c r="AI298" i="20"/>
  <c r="AM290" i="20"/>
  <c r="AO290" i="20"/>
  <c r="AJ286" i="20"/>
  <c r="AL286" i="20"/>
  <c r="AF286" i="20"/>
  <c r="AP278" i="20"/>
  <c r="AN278" i="20"/>
  <c r="AQ278" i="20"/>
  <c r="AD274" i="20"/>
  <c r="AQ274" i="20"/>
  <c r="AJ266" i="20"/>
  <c r="AP266" i="20"/>
  <c r="AR266" i="20"/>
  <c r="AS262" i="20"/>
  <c r="AD262" i="20"/>
  <c r="AO258" i="20"/>
  <c r="AF258" i="20"/>
  <c r="AD254" i="20"/>
  <c r="AQ254" i="20"/>
  <c r="AI93" i="20"/>
  <c r="AQ93" i="20"/>
  <c r="AI89" i="20"/>
  <c r="AP84" i="20"/>
  <c r="AM84" i="20"/>
  <c r="AP387" i="20"/>
  <c r="AL387" i="20"/>
  <c r="AP98" i="20"/>
  <c r="AR491" i="20"/>
  <c r="AF278" i="20"/>
  <c r="AF270" i="20"/>
  <c r="AN302" i="20"/>
  <c r="AQ84" i="20"/>
  <c r="AR258" i="20"/>
  <c r="AJ84" i="20"/>
  <c r="AQ262" i="20"/>
  <c r="AM326" i="20"/>
  <c r="AO411" i="20"/>
  <c r="AI98" i="20"/>
  <c r="AQ491" i="20"/>
  <c r="AF274" i="20"/>
  <c r="AS322" i="20"/>
  <c r="AL89" i="20"/>
  <c r="AS528" i="20"/>
  <c r="AP89" i="20"/>
  <c r="AS274" i="20"/>
  <c r="AD460" i="20"/>
  <c r="AR564" i="20"/>
  <c r="AM564" i="20"/>
  <c r="AO552" i="20"/>
  <c r="AP552" i="20"/>
  <c r="AR540" i="20"/>
  <c r="AI532" i="20"/>
  <c r="AD491" i="20"/>
  <c r="AK491" i="20"/>
  <c r="AS480" i="20"/>
  <c r="AP464" i="20"/>
  <c r="AN464" i="20"/>
  <c r="AS464" i="20"/>
  <c r="AO426" i="20"/>
  <c r="AD426" i="20"/>
  <c r="AI414" i="20"/>
  <c r="AR414" i="20"/>
  <c r="AM414" i="20"/>
  <c r="AD404" i="20"/>
  <c r="AQ404" i="20"/>
  <c r="AS404" i="20"/>
  <c r="AK392" i="20"/>
  <c r="AM392" i="20"/>
  <c r="AP353" i="20"/>
  <c r="AD353" i="20"/>
  <c r="AM353" i="20"/>
  <c r="AP342" i="20"/>
  <c r="AR342" i="20"/>
  <c r="AQ342" i="20"/>
  <c r="AJ334" i="20"/>
  <c r="AO334" i="20"/>
  <c r="AQ318" i="20"/>
  <c r="AS318" i="20"/>
  <c r="AN318" i="20"/>
  <c r="AO306" i="20"/>
  <c r="AQ306" i="20"/>
  <c r="AI306" i="20"/>
  <c r="AQ294" i="20"/>
  <c r="AL294" i="20"/>
  <c r="AP282" i="20"/>
  <c r="AM282" i="20"/>
  <c r="AS282" i="20"/>
  <c r="AM270" i="20"/>
  <c r="AJ250" i="20"/>
  <c r="AR250" i="20"/>
  <c r="AQ98" i="20"/>
  <c r="AF552" i="20"/>
  <c r="AF93" i="20"/>
  <c r="AF84" i="20"/>
  <c r="AS266" i="20"/>
  <c r="AJ552" i="20"/>
  <c r="AO548" i="20"/>
  <c r="AJ387" i="20"/>
  <c r="AK262" i="20"/>
  <c r="AK294" i="20"/>
  <c r="AP452" i="20"/>
  <c r="AK404" i="20"/>
  <c r="AP495" i="20"/>
  <c r="AJ566" i="20"/>
  <c r="AL566" i="20"/>
  <c r="AP566" i="20"/>
  <c r="AK558" i="20"/>
  <c r="AR558" i="20"/>
  <c r="AM550" i="20"/>
  <c r="AL550" i="20"/>
  <c r="AO542" i="20"/>
  <c r="AN542" i="20"/>
  <c r="AJ534" i="20"/>
  <c r="AO534" i="20"/>
  <c r="AD497" i="20"/>
  <c r="AK497" i="20"/>
  <c r="AR497" i="20"/>
  <c r="AP493" i="20"/>
  <c r="AR493" i="20"/>
  <c r="AJ486" i="20"/>
  <c r="AJ482" i="20"/>
  <c r="AJ416" i="20"/>
  <c r="AR406" i="20"/>
  <c r="AP406" i="20"/>
  <c r="AO402" i="20"/>
  <c r="AM398" i="20"/>
  <c r="AI398" i="20"/>
  <c r="AI394" i="20"/>
  <c r="AK394" i="20"/>
  <c r="AS390" i="20"/>
  <c r="AI390" i="20"/>
  <c r="AR359" i="20"/>
  <c r="AP351" i="20"/>
  <c r="AN68" i="20"/>
  <c r="AL66" i="20"/>
  <c r="AQ66" i="20"/>
  <c r="AP66" i="20"/>
  <c r="AD67" i="20"/>
  <c r="AL105" i="20"/>
  <c r="AM67" i="20"/>
  <c r="AR67" i="20"/>
  <c r="AJ67" i="20"/>
  <c r="AD68" i="20"/>
  <c r="AS65" i="20"/>
  <c r="AQ64" i="20"/>
  <c r="AF64" i="20"/>
  <c r="AN65" i="20"/>
  <c r="AK65" i="20"/>
  <c r="AP64" i="20"/>
  <c r="AL63" i="20"/>
  <c r="AJ87" i="20"/>
  <c r="AK109" i="20"/>
  <c r="AJ111" i="20"/>
  <c r="AN110" i="20"/>
  <c r="AI97" i="20"/>
  <c r="AR88" i="20"/>
  <c r="AL92" i="20"/>
  <c r="AP99" i="20"/>
  <c r="AF119" i="20"/>
  <c r="AQ63" i="20"/>
  <c r="AJ273" i="20"/>
  <c r="AJ325" i="20"/>
  <c r="AJ477" i="20"/>
  <c r="AK241" i="20"/>
  <c r="AQ529" i="20"/>
  <c r="AJ364" i="20"/>
  <c r="AM380" i="20"/>
  <c r="AJ505" i="20"/>
  <c r="AS505" i="20"/>
  <c r="AI370" i="20"/>
  <c r="AJ389" i="20"/>
  <c r="AM542" i="20"/>
  <c r="AL304" i="20"/>
  <c r="AS566" i="20"/>
  <c r="AQ394" i="20"/>
  <c r="AJ224" i="20"/>
  <c r="AJ204" i="20"/>
  <c r="AI155" i="20"/>
  <c r="AI127" i="20"/>
  <c r="AQ103" i="20"/>
  <c r="AM351" i="20"/>
  <c r="AI324" i="20"/>
  <c r="AD332" i="20"/>
  <c r="AK416" i="20"/>
  <c r="AN220" i="20"/>
  <c r="AM204" i="20"/>
  <c r="AK359" i="20"/>
  <c r="AL316" i="20"/>
  <c r="AS406" i="20"/>
  <c r="AS172" i="20"/>
  <c r="AO244" i="20"/>
  <c r="AI236" i="20"/>
  <c r="AL482" i="20"/>
  <c r="AD147" i="20"/>
  <c r="AM497" i="20"/>
  <c r="AM340" i="20"/>
  <c r="AL558" i="20"/>
  <c r="AP402" i="20"/>
  <c r="AD355" i="20"/>
  <c r="AQ220" i="20"/>
  <c r="AR188" i="20"/>
  <c r="AP151" i="20"/>
  <c r="AI123" i="20"/>
  <c r="AM359" i="20"/>
  <c r="AO328" i="20"/>
  <c r="AO308" i="20"/>
  <c r="AS244" i="20"/>
  <c r="AL200" i="20"/>
  <c r="AQ171" i="20"/>
  <c r="AP324" i="20"/>
  <c r="AS534" i="20"/>
  <c r="AQ147" i="20"/>
  <c r="AF244" i="20"/>
  <c r="AM382" i="20"/>
  <c r="AK382" i="20"/>
  <c r="AK82" i="20"/>
  <c r="AL82" i="20"/>
  <c r="AP91" i="20"/>
  <c r="AM106" i="20"/>
  <c r="AD99" i="20"/>
  <c r="AM103" i="20"/>
  <c r="AP115" i="20"/>
  <c r="AK115" i="20"/>
  <c r="AD123" i="20"/>
  <c r="AM123" i="20"/>
  <c r="AK127" i="20"/>
  <c r="AK131" i="20"/>
  <c r="AL139" i="20"/>
  <c r="AM147" i="20"/>
  <c r="AP147" i="20"/>
  <c r="AD155" i="20"/>
  <c r="AP171" i="20"/>
  <c r="AI171" i="20"/>
  <c r="AS180" i="20"/>
  <c r="AI188" i="20"/>
  <c r="AP188" i="20"/>
  <c r="AN196" i="20"/>
  <c r="AS204" i="20"/>
  <c r="AP208" i="20"/>
  <c r="AD208" i="20"/>
  <c r="AK212" i="20"/>
  <c r="AI216" i="20"/>
  <c r="AP220" i="20"/>
  <c r="AL224" i="20"/>
  <c r="AQ228" i="20"/>
  <c r="AJ228" i="20"/>
  <c r="AI232" i="20"/>
  <c r="AS276" i="20"/>
  <c r="AR276" i="20"/>
  <c r="AM280" i="20"/>
  <c r="AI280" i="20"/>
  <c r="AL284" i="20"/>
  <c r="AO288" i="20"/>
  <c r="AK288" i="20"/>
  <c r="AJ292" i="20"/>
  <c r="AK292" i="20"/>
  <c r="AI296" i="20"/>
  <c r="AM296" i="20"/>
  <c r="AM300" i="20"/>
  <c r="AD300" i="20"/>
  <c r="AK304" i="20"/>
  <c r="AL308" i="20"/>
  <c r="AJ312" i="20"/>
  <c r="AD324" i="20"/>
  <c r="AJ324" i="20"/>
  <c r="AS332" i="20"/>
  <c r="AO336" i="20"/>
  <c r="AO340" i="20"/>
  <c r="AI340" i="20"/>
  <c r="AK347" i="20"/>
  <c r="AP347" i="20"/>
  <c r="AO355" i="20"/>
  <c r="AR390" i="20"/>
  <c r="AN390" i="20"/>
  <c r="AP394" i="20"/>
  <c r="AN398" i="20"/>
  <c r="AR402" i="20"/>
  <c r="AM402" i="20"/>
  <c r="AK406" i="20"/>
  <c r="AM482" i="20"/>
  <c r="AR486" i="20"/>
  <c r="AM493" i="20"/>
  <c r="AI493" i="20"/>
  <c r="AJ497" i="20"/>
  <c r="AI497" i="20"/>
  <c r="AN534" i="20"/>
  <c r="AR542" i="20"/>
  <c r="AP542" i="20"/>
  <c r="AD550" i="20"/>
  <c r="AJ558" i="20"/>
  <c r="AR562" i="20"/>
  <c r="AQ566" i="20"/>
  <c r="AI566" i="20"/>
  <c r="AP400" i="20"/>
  <c r="AO544" i="20"/>
  <c r="AO310" i="20"/>
  <c r="AN258" i="20"/>
  <c r="AS532" i="20"/>
  <c r="AN89" i="20"/>
  <c r="AF322" i="20"/>
  <c r="AF306" i="20"/>
  <c r="AF480" i="20"/>
  <c r="AD495" i="20"/>
  <c r="AQ250" i="20"/>
  <c r="AP250" i="20"/>
  <c r="AL270" i="20"/>
  <c r="AF282" i="20"/>
  <c r="AK282" i="20"/>
  <c r="AD294" i="20"/>
  <c r="AM306" i="20"/>
  <c r="AS306" i="20"/>
  <c r="AJ318" i="20"/>
  <c r="AM318" i="20"/>
  <c r="AK334" i="20"/>
  <c r="AI334" i="20"/>
  <c r="AJ342" i="20"/>
  <c r="AR353" i="20"/>
  <c r="AI353" i="20"/>
  <c r="AN353" i="20"/>
  <c r="AP392" i="20"/>
  <c r="AI392" i="20"/>
  <c r="AO404" i="20"/>
  <c r="AO414" i="20"/>
  <c r="AK414" i="20"/>
  <c r="AJ414" i="20"/>
  <c r="AR426" i="20"/>
  <c r="AJ426" i="20"/>
  <c r="AK464" i="20"/>
  <c r="AR464" i="20"/>
  <c r="AP491" i="20"/>
  <c r="AI491" i="20"/>
  <c r="AN532" i="20"/>
  <c r="AL540" i="20"/>
  <c r="AR552" i="20"/>
  <c r="AK564" i="20"/>
  <c r="AP536" i="20"/>
  <c r="AM286" i="20"/>
  <c r="AN495" i="20"/>
  <c r="AS460" i="20"/>
  <c r="AM552" i="20"/>
  <c r="AF528" i="20"/>
  <c r="AN491" i="20"/>
  <c r="AI112" i="20"/>
  <c r="AJ298" i="20"/>
  <c r="AL254" i="20"/>
  <c r="AS396" i="20"/>
  <c r="AM387" i="20"/>
  <c r="AF418" i="20"/>
  <c r="AF330" i="20"/>
  <c r="AR411" i="20"/>
  <c r="AP112" i="20"/>
  <c r="AD387" i="20"/>
  <c r="AR84" i="20"/>
  <c r="AQ89" i="20"/>
  <c r="AS93" i="20"/>
  <c r="AS254" i="20"/>
  <c r="AI254" i="20"/>
  <c r="AQ258" i="20"/>
  <c r="AI258" i="20"/>
  <c r="AR262" i="20"/>
  <c r="AI262" i="20"/>
  <c r="AK266" i="20"/>
  <c r="AO274" i="20"/>
  <c r="AM274" i="20"/>
  <c r="AR278" i="20"/>
  <c r="AK278" i="20"/>
  <c r="AK286" i="20"/>
  <c r="AN286" i="20"/>
  <c r="AS290" i="20"/>
  <c r="AN290" i="20"/>
  <c r="AR298" i="20"/>
  <c r="AL298" i="20"/>
  <c r="AP302" i="20"/>
  <c r="AJ302" i="20"/>
  <c r="AL310" i="20"/>
  <c r="AK310" i="20"/>
  <c r="AK314" i="20"/>
  <c r="AO314" i="20"/>
  <c r="AJ322" i="20"/>
  <c r="AP322" i="20"/>
  <c r="AQ326" i="20"/>
  <c r="AD326" i="20"/>
  <c r="AQ330" i="20"/>
  <c r="AK330" i="20"/>
  <c r="AM338" i="20"/>
  <c r="AL338" i="20"/>
  <c r="AQ345" i="20"/>
  <c r="AD345" i="20"/>
  <c r="AD349" i="20"/>
  <c r="AJ349" i="20"/>
  <c r="AK357" i="20"/>
  <c r="AN357" i="20"/>
  <c r="AO396" i="20"/>
  <c r="AQ396" i="20"/>
  <c r="AK400" i="20"/>
  <c r="AJ400" i="20"/>
  <c r="AK408" i="20"/>
  <c r="AP408" i="20"/>
  <c r="AM411" i="20"/>
  <c r="AJ411" i="20"/>
  <c r="AL418" i="20"/>
  <c r="AP418" i="20"/>
  <c r="AL422" i="20"/>
  <c r="AN422" i="20"/>
  <c r="AL430" i="20"/>
  <c r="AO430" i="20"/>
  <c r="AJ430" i="20"/>
  <c r="AD433" i="20"/>
  <c r="AS433" i="20"/>
  <c r="AP440" i="20"/>
  <c r="AJ444" i="20"/>
  <c r="AR448" i="20"/>
  <c r="AP448" i="20"/>
  <c r="AK452" i="20"/>
  <c r="AD452" i="20"/>
  <c r="AP456" i="20"/>
  <c r="AI460" i="20"/>
  <c r="AD468" i="20"/>
  <c r="AJ468" i="20"/>
  <c r="AI468" i="20"/>
  <c r="AK472" i="20"/>
  <c r="AS472" i="20"/>
  <c r="AF476" i="20"/>
  <c r="AR476" i="20"/>
  <c r="AM484" i="20"/>
  <c r="AN484" i="20"/>
  <c r="AS488" i="20"/>
  <c r="AR495" i="20"/>
  <c r="AL495" i="20"/>
  <c r="AQ528" i="20"/>
  <c r="AN536" i="20"/>
  <c r="AJ536" i="20"/>
  <c r="AN544" i="20"/>
  <c r="AD544" i="20"/>
  <c r="AQ548" i="20"/>
  <c r="AP556" i="20"/>
  <c r="AL560" i="20"/>
  <c r="AD560" i="20"/>
  <c r="AJ568" i="20"/>
  <c r="AD568" i="20"/>
  <c r="AF572" i="20"/>
  <c r="AK572" i="20"/>
  <c r="AJ219" i="20"/>
  <c r="AJ454" i="20"/>
  <c r="AI553" i="20"/>
  <c r="AL137" i="20"/>
  <c r="AI161" i="20"/>
  <c r="AP186" i="20"/>
  <c r="AI206" i="20"/>
  <c r="AN218" i="20"/>
  <c r="AI234" i="20"/>
  <c r="AM369" i="20"/>
  <c r="AI388" i="20"/>
  <c r="AQ434" i="20"/>
  <c r="AL453" i="20"/>
  <c r="AI461" i="20"/>
  <c r="AJ481" i="20"/>
  <c r="AS489" i="20"/>
  <c r="AD502" i="20"/>
  <c r="AJ508" i="20"/>
  <c r="AD492" i="20"/>
  <c r="AR82" i="20"/>
  <c r="AF91" i="20"/>
  <c r="AI513" i="20"/>
  <c r="AI504" i="20"/>
  <c r="AJ492" i="20"/>
  <c r="AF511" i="20"/>
  <c r="AN106" i="20"/>
  <c r="AP260" i="20"/>
  <c r="AR268" i="20"/>
  <c r="AK502" i="20"/>
  <c r="AQ504" i="20"/>
  <c r="AR511" i="20"/>
  <c r="AI407" i="20"/>
  <c r="AI499" i="20"/>
  <c r="AJ473" i="20"/>
  <c r="AI509" i="20"/>
  <c r="AM252" i="20"/>
  <c r="AD520" i="20"/>
  <c r="AR398" i="20"/>
  <c r="AJ371" i="20"/>
  <c r="AQ420" i="20"/>
  <c r="AM363" i="20"/>
  <c r="AN420" i="20"/>
  <c r="AS85" i="20"/>
  <c r="AF436" i="20"/>
  <c r="AM371" i="20"/>
  <c r="AL367" i="20"/>
  <c r="AS90" i="20"/>
  <c r="AF236" i="20"/>
  <c r="AF312" i="20"/>
  <c r="AS256" i="20"/>
  <c r="AR90" i="20"/>
  <c r="AM248" i="20"/>
  <c r="AD252" i="20"/>
  <c r="AP256" i="20"/>
  <c r="AM268" i="20"/>
  <c r="AI268" i="20"/>
  <c r="AI272" i="20"/>
  <c r="AL402" i="20"/>
  <c r="AI420" i="20"/>
  <c r="AP436" i="20"/>
  <c r="AD524" i="20"/>
  <c r="AM516" i="20"/>
  <c r="AO379" i="20"/>
  <c r="AP204" i="20"/>
  <c r="AQ90" i="20"/>
  <c r="AP81" i="20"/>
  <c r="AJ125" i="20"/>
  <c r="AL518" i="20"/>
  <c r="AJ73" i="20"/>
  <c r="AR83" i="20"/>
  <c r="AO165" i="20"/>
  <c r="AP172" i="20"/>
  <c r="AP79" i="20"/>
  <c r="AS194" i="20"/>
  <c r="AF76" i="20"/>
  <c r="AL95" i="20"/>
  <c r="AS80" i="20"/>
  <c r="AQ83" i="20"/>
  <c r="AP117" i="20"/>
  <c r="AQ178" i="20"/>
  <c r="AJ145" i="20"/>
  <c r="AF73" i="20"/>
  <c r="AR214" i="20"/>
  <c r="AS165" i="20"/>
  <c r="AR125" i="20"/>
  <c r="AS178" i="20"/>
  <c r="AP76" i="20"/>
  <c r="AD111" i="20"/>
  <c r="AM80" i="20"/>
  <c r="AQ133" i="20"/>
  <c r="AL80" i="20"/>
  <c r="AO210" i="20"/>
  <c r="AD77" i="20"/>
  <c r="AR74" i="20"/>
  <c r="AL74" i="20"/>
  <c r="AP111" i="20"/>
  <c r="AI383" i="20"/>
  <c r="AL83" i="20"/>
  <c r="AD92" i="20"/>
  <c r="AN117" i="20"/>
  <c r="AR121" i="20"/>
  <c r="AS129" i="20"/>
  <c r="AN141" i="20"/>
  <c r="AN149" i="20"/>
  <c r="AJ157" i="20"/>
  <c r="AD165" i="20"/>
  <c r="AQ186" i="20"/>
  <c r="AI194" i="20"/>
  <c r="AN202" i="20"/>
  <c r="AR210" i="20"/>
  <c r="AR218" i="20"/>
  <c r="AO226" i="20"/>
  <c r="AI226" i="20"/>
  <c r="AD234" i="20"/>
  <c r="AI270" i="20"/>
  <c r="AR377" i="20"/>
  <c r="AK377" i="20"/>
  <c r="AD434" i="20"/>
  <c r="AP510" i="20"/>
  <c r="AN518" i="20"/>
  <c r="AL534" i="20"/>
  <c r="AL182" i="20"/>
  <c r="AS408" i="20"/>
  <c r="AQ75" i="20"/>
  <c r="AN76" i="20"/>
  <c r="AM107" i="20"/>
  <c r="AP72" i="20"/>
  <c r="AL72" i="20"/>
  <c r="AD71" i="20"/>
  <c r="AI80" i="20"/>
  <c r="AK107" i="20"/>
  <c r="AS113" i="20"/>
  <c r="AQ125" i="20"/>
  <c r="AD133" i="20"/>
  <c r="AQ137" i="20"/>
  <c r="AI145" i="20"/>
  <c r="AP169" i="20"/>
  <c r="AJ174" i="20"/>
  <c r="AK182" i="20"/>
  <c r="AK198" i="20"/>
  <c r="AI198" i="20"/>
  <c r="AK214" i="20"/>
  <c r="AN214" i="20"/>
  <c r="AL222" i="20"/>
  <c r="AR230" i="20"/>
  <c r="AQ238" i="20"/>
  <c r="AF246" i="20"/>
  <c r="AF342" i="20"/>
  <c r="AJ361" i="20"/>
  <c r="AN365" i="20"/>
  <c r="AN373" i="20"/>
  <c r="AD381" i="20"/>
  <c r="AR388" i="20"/>
  <c r="AM63" i="20"/>
  <c r="AK260" i="20"/>
  <c r="AN379" i="20"/>
  <c r="AQ520" i="20"/>
  <c r="AJ101" i="20"/>
  <c r="AN442" i="20"/>
  <c r="AI446" i="20"/>
  <c r="AK454" i="20"/>
  <c r="AS462" i="20"/>
  <c r="AI470" i="20"/>
  <c r="AI344" i="20"/>
  <c r="AI395" i="20"/>
  <c r="AI559" i="20"/>
  <c r="AI132" i="20"/>
  <c r="AO237" i="20"/>
  <c r="AD277" i="20"/>
  <c r="AN333" i="20"/>
  <c r="AD449" i="20"/>
  <c r="AI557" i="20"/>
  <c r="AS410" i="20"/>
  <c r="AJ211" i="20"/>
  <c r="AM150" i="20"/>
  <c r="AO295" i="20"/>
  <c r="AM271" i="20"/>
  <c r="AR203" i="20"/>
  <c r="AR215" i="20"/>
  <c r="AS195" i="20"/>
  <c r="AI303" i="20"/>
  <c r="AM158" i="20"/>
  <c r="AQ299" i="20"/>
  <c r="AN96" i="20"/>
  <c r="AF134" i="20"/>
  <c r="AM96" i="20"/>
  <c r="AM114" i="20"/>
  <c r="AM122" i="20"/>
  <c r="AL130" i="20"/>
  <c r="AQ134" i="20"/>
  <c r="AF142" i="20"/>
  <c r="AK146" i="20"/>
  <c r="AP150" i="20"/>
  <c r="AN158" i="20"/>
  <c r="AK162" i="20"/>
  <c r="AO166" i="20"/>
  <c r="AD175" i="20"/>
  <c r="AO179" i="20"/>
  <c r="AK183" i="20"/>
  <c r="AR187" i="20"/>
  <c r="AR191" i="20"/>
  <c r="AK195" i="20"/>
  <c r="AI199" i="20"/>
  <c r="AK203" i="20"/>
  <c r="AO207" i="20"/>
  <c r="AJ215" i="20"/>
  <c r="AR223" i="20"/>
  <c r="AS227" i="20"/>
  <c r="AM231" i="20"/>
  <c r="AR235" i="20"/>
  <c r="AF239" i="20"/>
  <c r="AQ243" i="20"/>
  <c r="AI243" i="20"/>
  <c r="AK255" i="20"/>
  <c r="AO267" i="20"/>
  <c r="AD279" i="20"/>
  <c r="AS283" i="20"/>
  <c r="AD291" i="20"/>
  <c r="AS295" i="20"/>
  <c r="AD303" i="20"/>
  <c r="AP315" i="20"/>
  <c r="AO319" i="20"/>
  <c r="AD327" i="20"/>
  <c r="AK335" i="20"/>
  <c r="AF339" i="20"/>
  <c r="AK410" i="20"/>
  <c r="AQ203" i="20"/>
  <c r="AM235" i="20"/>
  <c r="AQ191" i="20"/>
  <c r="AR247" i="20"/>
  <c r="AR275" i="20"/>
  <c r="AP287" i="20"/>
  <c r="AL299" i="20"/>
  <c r="AM311" i="20"/>
  <c r="AP331" i="20"/>
  <c r="AL343" i="20"/>
  <c r="AN104" i="20"/>
  <c r="AD213" i="20"/>
  <c r="AI245" i="20"/>
  <c r="AN273" i="20"/>
  <c r="AJ305" i="20"/>
  <c r="AI329" i="20"/>
  <c r="AD412" i="20"/>
  <c r="AO343" i="20"/>
  <c r="AF319" i="20"/>
  <c r="AI379" i="20"/>
  <c r="AL478" i="20"/>
  <c r="AN195" i="20"/>
  <c r="AP267" i="20"/>
  <c r="AP355" i="20"/>
  <c r="AD379" i="20"/>
  <c r="AR458" i="20"/>
  <c r="AJ478" i="20"/>
  <c r="AD375" i="20"/>
  <c r="AQ375" i="20"/>
  <c r="AF331" i="20"/>
  <c r="AD130" i="20"/>
  <c r="AL315" i="20"/>
  <c r="AN359" i="20"/>
  <c r="AI442" i="20"/>
  <c r="AK462" i="20"/>
  <c r="AM466" i="20"/>
  <c r="AK354" i="20"/>
  <c r="AI397" i="20"/>
  <c r="AJ457" i="20"/>
  <c r="AI473" i="20"/>
  <c r="AN501" i="20"/>
  <c r="AO525" i="20"/>
  <c r="AM557" i="20"/>
  <c r="AD399" i="20"/>
  <c r="AI119" i="20"/>
  <c r="AK499" i="20"/>
  <c r="AO451" i="20"/>
  <c r="AI471" i="20"/>
  <c r="AF527" i="20"/>
  <c r="AQ443" i="20"/>
  <c r="AQ304" i="20"/>
  <c r="AQ479" i="20"/>
  <c r="AO272" i="20"/>
  <c r="AO364" i="20"/>
  <c r="AP399" i="20"/>
  <c r="AD419" i="20"/>
  <c r="AI431" i="20"/>
  <c r="AJ483" i="20"/>
  <c r="AI515" i="20"/>
  <c r="AI531" i="20"/>
  <c r="AQ346" i="20"/>
  <c r="AF393" i="20"/>
  <c r="AS370" i="20"/>
  <c r="AS417" i="20"/>
  <c r="AM457" i="20"/>
  <c r="AL509" i="20"/>
  <c r="AN545" i="20"/>
  <c r="AK441" i="20"/>
  <c r="AQ405" i="20"/>
  <c r="AF421" i="20"/>
  <c r="AK555" i="20"/>
  <c r="AD441" i="20"/>
  <c r="AO384" i="20"/>
  <c r="AK421" i="20"/>
  <c r="AL477" i="20"/>
  <c r="AL429" i="20"/>
  <c r="AL366" i="20"/>
  <c r="AL413" i="20"/>
  <c r="AP453" i="20"/>
  <c r="AK489" i="20"/>
  <c r="AS557" i="20"/>
  <c r="AO229" i="20"/>
  <c r="AS116" i="20"/>
  <c r="AF124" i="20"/>
  <c r="AR136" i="20"/>
  <c r="AJ152" i="20"/>
  <c r="AQ168" i="20"/>
  <c r="AF201" i="20"/>
  <c r="AO225" i="20"/>
  <c r="AJ253" i="20"/>
  <c r="AD293" i="20"/>
  <c r="AO329" i="20"/>
  <c r="AM257" i="20"/>
  <c r="AQ205" i="20"/>
  <c r="AP100" i="20"/>
  <c r="AS140" i="20"/>
  <c r="AN181" i="20"/>
  <c r="AJ205" i="20"/>
  <c r="AO241" i="20"/>
  <c r="AF273" i="20"/>
  <c r="AO313" i="20"/>
  <c r="AM416" i="20"/>
  <c r="AK446" i="20"/>
  <c r="AK467" i="20"/>
  <c r="AF329" i="20"/>
  <c r="AQ376" i="20"/>
  <c r="AR451" i="20"/>
  <c r="AF379" i="20"/>
  <c r="AP116" i="20"/>
  <c r="AS563" i="20"/>
  <c r="AI467" i="20"/>
  <c r="AS149" i="20"/>
  <c r="AI51" i="20"/>
  <c r="AO89" i="20"/>
  <c r="AH103" i="20"/>
  <c r="AH253" i="20"/>
  <c r="AH443" i="20"/>
  <c r="AH446" i="20"/>
  <c r="AE485" i="20"/>
  <c r="AE424" i="20"/>
  <c r="AE376" i="20"/>
  <c r="AE325" i="20"/>
  <c r="AE292" i="20"/>
  <c r="AE270" i="20"/>
  <c r="AE245" i="20"/>
  <c r="AE225" i="20"/>
  <c r="AE206" i="20"/>
  <c r="AE182" i="20"/>
  <c r="AE160" i="20"/>
  <c r="AE137" i="20"/>
  <c r="AE114" i="20"/>
  <c r="AE91" i="20"/>
  <c r="AE60" i="20"/>
  <c r="AF180" i="20"/>
  <c r="AN344" i="20"/>
  <c r="AO443" i="20"/>
  <c r="AD551" i="20"/>
  <c r="AH425" i="20"/>
  <c r="AH458" i="20"/>
  <c r="AH484" i="20"/>
  <c r="AH511" i="20"/>
  <c r="AE565" i="20"/>
  <c r="AE449" i="20"/>
  <c r="AE420" i="20"/>
  <c r="AE365" i="20"/>
  <c r="AE315" i="20"/>
  <c r="AE286" i="20"/>
  <c r="AE260" i="20"/>
  <c r="AE243" i="20"/>
  <c r="AE219" i="20"/>
  <c r="AE201" i="20"/>
  <c r="AE178" i="20"/>
  <c r="AE152" i="20"/>
  <c r="AE131" i="20"/>
  <c r="AE108" i="20"/>
  <c r="AE82" i="20"/>
  <c r="AE55" i="20"/>
  <c r="AP244" i="20"/>
  <c r="AK368" i="20"/>
  <c r="AN467" i="20"/>
  <c r="AR52" i="20"/>
  <c r="AK55" i="20"/>
  <c r="AR55" i="20"/>
  <c r="AM55" i="20"/>
  <c r="AO141" i="20"/>
  <c r="AO91" i="20"/>
  <c r="AK53" i="20"/>
  <c r="AR53" i="20"/>
  <c r="AN53" i="20"/>
  <c r="AM56" i="20"/>
  <c r="AK56" i="20"/>
  <c r="AN541" i="20"/>
  <c r="AS457" i="20"/>
  <c r="AD405" i="20"/>
  <c r="AR346" i="20"/>
  <c r="AO144" i="20"/>
  <c r="AO120" i="20"/>
  <c r="AO85" i="20"/>
  <c r="AO152" i="20"/>
  <c r="AO112" i="20"/>
  <c r="AO59" i="20"/>
  <c r="AO63" i="20"/>
  <c r="AO145" i="20"/>
  <c r="AN107" i="20"/>
  <c r="AS139" i="20"/>
  <c r="AR115" i="20"/>
  <c r="AO105" i="20"/>
  <c r="AK57" i="20"/>
  <c r="AJ57" i="20"/>
  <c r="AF58" i="20"/>
  <c r="AN58" i="20"/>
  <c r="AD51" i="20"/>
  <c r="AD59" i="20"/>
  <c r="AJ59" i="20"/>
  <c r="AJ60" i="20"/>
  <c r="AM60" i="20"/>
  <c r="AQ61" i="20"/>
  <c r="AF155" i="20"/>
  <c r="AR344" i="20"/>
  <c r="AQ459" i="20"/>
  <c r="AM244" i="20"/>
  <c r="AN403" i="20"/>
  <c r="AR368" i="20"/>
  <c r="AS545" i="20"/>
  <c r="AR513" i="20"/>
  <c r="AJ465" i="20"/>
  <c r="AO425" i="20"/>
  <c r="AM397" i="20"/>
  <c r="AI362" i="20"/>
  <c r="AM334" i="20"/>
  <c r="AH478" i="20"/>
  <c r="AE446" i="20"/>
  <c r="AE347" i="20"/>
  <c r="AE274" i="20"/>
  <c r="AE229" i="20"/>
  <c r="AE189" i="20"/>
  <c r="AE142" i="20"/>
  <c r="AE96" i="20"/>
  <c r="AO130" i="20"/>
  <c r="AS423" i="20"/>
  <c r="AH119" i="20"/>
  <c r="AE529" i="20"/>
  <c r="AE405" i="20"/>
  <c r="AE304" i="20"/>
  <c r="AE265" i="20"/>
  <c r="AE216" i="20"/>
  <c r="AE173" i="20"/>
  <c r="AE123" i="20"/>
  <c r="AE71" i="20"/>
  <c r="AN264" i="20"/>
  <c r="AD487" i="20"/>
  <c r="AF52" i="20"/>
  <c r="AN52" i="20"/>
  <c r="AO55" i="20"/>
  <c r="AD55" i="20"/>
  <c r="AO158" i="20"/>
  <c r="AO87" i="20"/>
  <c r="AL53" i="20"/>
  <c r="AQ53" i="20"/>
  <c r="AJ56" i="20"/>
  <c r="AF461" i="20"/>
  <c r="AK397" i="20"/>
  <c r="AO161" i="20"/>
  <c r="AO128" i="20"/>
  <c r="AO81" i="20"/>
  <c r="AO103" i="20"/>
  <c r="AO57" i="20"/>
  <c r="AO121" i="20"/>
  <c r="AO147" i="20"/>
  <c r="AO115" i="20"/>
  <c r="AF75" i="20"/>
  <c r="AM57" i="20"/>
  <c r="AK58" i="20"/>
  <c r="AM58" i="20"/>
  <c r="AP51" i="20"/>
  <c r="AI59" i="20"/>
  <c r="AF60" i="20"/>
  <c r="AR59" i="20"/>
  <c r="AQ60" i="20"/>
  <c r="AF61" i="20"/>
  <c r="AF158" i="20"/>
  <c r="AQ378" i="20"/>
  <c r="AQ519" i="20"/>
  <c r="AK479" i="20"/>
  <c r="AD435" i="20"/>
  <c r="AK529" i="20"/>
  <c r="AS481" i="20"/>
  <c r="AJ417" i="20"/>
  <c r="AN378" i="20"/>
  <c r="AF338" i="20"/>
  <c r="AK302" i="20"/>
  <c r="AJ278" i="20"/>
  <c r="AO234" i="20"/>
  <c r="AQ210" i="20"/>
  <c r="AM182" i="20"/>
  <c r="AM157" i="20"/>
  <c r="AF125" i="20"/>
  <c r="AM383" i="20"/>
  <c r="AR79" i="20"/>
  <c r="AF85" i="20"/>
  <c r="AQ407" i="20"/>
  <c r="AN547" i="20"/>
  <c r="AF352" i="20"/>
  <c r="AS515" i="20"/>
  <c r="AS210" i="20"/>
  <c r="AK145" i="20"/>
  <c r="AS469" i="20"/>
  <c r="AR487" i="20"/>
  <c r="AL131" i="20"/>
  <c r="AN462" i="20"/>
  <c r="AQ484" i="20"/>
  <c r="AO440" i="20"/>
  <c r="AJ420" i="20"/>
  <c r="AP381" i="20"/>
  <c r="AK353" i="20"/>
  <c r="AS309" i="20"/>
  <c r="AS277" i="20"/>
  <c r="AF261" i="20"/>
  <c r="AK69" i="20"/>
  <c r="AL69" i="20"/>
  <c r="AD541" i="20"/>
  <c r="AM561" i="20"/>
  <c r="AR574" i="20"/>
  <c r="AL531" i="20"/>
  <c r="AK503" i="20"/>
  <c r="AM354" i="20"/>
  <c r="AN389" i="20"/>
  <c r="AS397" i="20"/>
  <c r="AQ421" i="20"/>
  <c r="AP471" i="20"/>
  <c r="AR300" i="20"/>
  <c r="AF513" i="20"/>
  <c r="AM88" i="20"/>
  <c r="AF467" i="20"/>
  <c r="AR403" i="20"/>
  <c r="AR352" i="20"/>
  <c r="AS272" i="20"/>
  <c r="AN395" i="20"/>
  <c r="AD543" i="20"/>
  <c r="AQ372" i="20"/>
  <c r="AR139" i="20"/>
  <c r="AL423" i="20"/>
  <c r="AM90" i="20"/>
  <c r="AJ467" i="20"/>
  <c r="AO567" i="20"/>
  <c r="AN477" i="20"/>
  <c r="AS393" i="20"/>
  <c r="AL108" i="20"/>
  <c r="AR386" i="20"/>
  <c r="AR256" i="20"/>
  <c r="AD391" i="20"/>
  <c r="AD69" i="20"/>
  <c r="AL415" i="20"/>
  <c r="AM507" i="20"/>
  <c r="AM366" i="20"/>
  <c r="AO429" i="20"/>
  <c r="AO543" i="20"/>
  <c r="AF531" i="20"/>
  <c r="AQ395" i="20"/>
  <c r="AQ264" i="20"/>
  <c r="AQ292" i="20"/>
  <c r="AJ245" i="20"/>
  <c r="AQ189" i="20"/>
  <c r="AI152" i="20"/>
  <c r="AF100" i="20"/>
  <c r="AM209" i="20"/>
  <c r="AF168" i="20"/>
  <c r="AK563" i="20"/>
  <c r="AR535" i="20"/>
  <c r="AL511" i="20"/>
  <c r="AQ483" i="20"/>
  <c r="AK447" i="20"/>
  <c r="AF411" i="20"/>
  <c r="AS348" i="20"/>
  <c r="AP328" i="20"/>
  <c r="AS296" i="20"/>
  <c r="AQ280" i="20"/>
  <c r="AP264" i="20"/>
  <c r="AK240" i="20"/>
  <c r="AK208" i="20"/>
  <c r="AI147" i="20"/>
  <c r="AQ119" i="20"/>
  <c r="AP482" i="20"/>
  <c r="AD462" i="20"/>
  <c r="AF414" i="20"/>
  <c r="AQ385" i="20"/>
  <c r="AD363" i="20"/>
  <c r="AR315" i="20"/>
  <c r="AQ287" i="20"/>
  <c r="AO243" i="20"/>
  <c r="AN219" i="20"/>
  <c r="AL191" i="20"/>
  <c r="AK158" i="20"/>
  <c r="AN114" i="20"/>
  <c r="AR112" i="20"/>
  <c r="AR154" i="20"/>
  <c r="AK317" i="20"/>
  <c r="AJ571" i="20"/>
  <c r="AR539" i="20"/>
  <c r="AL479" i="20"/>
  <c r="AM471" i="20"/>
  <c r="AS459" i="20"/>
  <c r="AK443" i="20"/>
  <c r="AK419" i="20"/>
  <c r="AP376" i="20"/>
  <c r="AF372" i="20"/>
  <c r="AF356" i="20"/>
  <c r="AK316" i="20"/>
  <c r="AD236" i="20"/>
  <c r="AE461" i="20"/>
  <c r="AE281" i="20"/>
  <c r="AE197" i="20"/>
  <c r="AE100" i="20"/>
  <c r="AO395" i="20"/>
  <c r="AO52" i="20"/>
  <c r="AM52" i="20"/>
  <c r="AL55" i="20"/>
  <c r="AO137" i="20"/>
  <c r="AF53" i="20"/>
  <c r="AI53" i="20"/>
  <c r="AN56" i="20"/>
  <c r="AS537" i="20"/>
  <c r="AD421" i="20"/>
  <c r="AO157" i="20"/>
  <c r="AO104" i="20"/>
  <c r="AO119" i="20"/>
  <c r="AO60" i="20"/>
  <c r="AO107" i="20"/>
  <c r="AS123" i="20"/>
  <c r="AF57" i="20"/>
  <c r="AR57" i="20"/>
  <c r="AD58" i="20"/>
  <c r="AM51" i="20"/>
  <c r="AM59" i="20"/>
  <c r="AP59" i="20"/>
  <c r="AQ69" i="20"/>
  <c r="AF156" i="20"/>
  <c r="AO405" i="20"/>
  <c r="AN360" i="20"/>
  <c r="AK196" i="20"/>
  <c r="AN537" i="20"/>
  <c r="AM449" i="20"/>
  <c r="AP405" i="20"/>
  <c r="AI350" i="20"/>
  <c r="AF298" i="20"/>
  <c r="AR242" i="20"/>
  <c r="AO218" i="20"/>
  <c r="AR178" i="20"/>
  <c r="AR141" i="20"/>
  <c r="AQ88" i="20"/>
  <c r="AL71" i="20"/>
  <c r="AR155" i="20"/>
  <c r="AN419" i="20"/>
  <c r="AS376" i="20"/>
  <c r="AF487" i="20"/>
  <c r="AI475" i="20"/>
  <c r="AN232" i="20"/>
  <c r="AK455" i="20"/>
  <c r="AK376" i="20"/>
  <c r="AN476" i="20"/>
  <c r="AS432" i="20"/>
  <c r="AD392" i="20"/>
  <c r="AS325" i="20"/>
  <c r="AR293" i="20"/>
  <c r="AN265" i="20"/>
  <c r="AP574" i="20"/>
  <c r="AN348" i="20"/>
  <c r="AR553" i="20"/>
  <c r="AL437" i="20"/>
  <c r="AI451" i="20"/>
  <c r="AL397" i="20"/>
  <c r="AQ370" i="20"/>
  <c r="AS571" i="20"/>
  <c r="AR149" i="20"/>
  <c r="AF439" i="20"/>
  <c r="AF455" i="20"/>
  <c r="AD483" i="20"/>
  <c r="AS386" i="20"/>
  <c r="AP304" i="20"/>
  <c r="AN451" i="20"/>
  <c r="AQ567" i="20"/>
  <c r="AQ236" i="20"/>
  <c r="AP348" i="20"/>
  <c r="AM543" i="20"/>
  <c r="AL483" i="20"/>
  <c r="AO208" i="20"/>
  <c r="AS103" i="20"/>
  <c r="AF443" i="20"/>
  <c r="AF280" i="20"/>
  <c r="AQ487" i="20"/>
  <c r="AP427" i="20"/>
  <c r="AL543" i="20"/>
  <c r="AM180" i="20"/>
  <c r="AS145" i="20"/>
  <c r="AE389" i="20"/>
  <c r="AE251" i="20"/>
  <c r="AE165" i="20"/>
  <c r="AE63" i="20"/>
  <c r="AO527" i="20"/>
  <c r="AE356" i="20"/>
  <c r="AE147" i="20"/>
  <c r="AI52" i="20"/>
  <c r="AI55" i="20"/>
  <c r="AO117" i="20"/>
  <c r="AD53" i="20"/>
  <c r="AR56" i="20"/>
  <c r="AN437" i="20"/>
  <c r="AR190" i="20"/>
  <c r="AO106" i="20"/>
  <c r="AO67" i="20"/>
  <c r="AO101" i="20"/>
  <c r="AI99" i="20"/>
  <c r="AI57" i="20"/>
  <c r="AJ58" i="20"/>
  <c r="AN51" i="20"/>
  <c r="AR60" i="20"/>
  <c r="AF162" i="20"/>
  <c r="AL503" i="20"/>
  <c r="AF360" i="20"/>
  <c r="AN517" i="20"/>
  <c r="AF433" i="20"/>
  <c r="AN354" i="20"/>
  <c r="AS286" i="20"/>
  <c r="AN230" i="20"/>
  <c r="AR186" i="20"/>
  <c r="AS133" i="20"/>
  <c r="AR109" i="20"/>
  <c r="AF81" i="20"/>
  <c r="AD264" i="20"/>
  <c r="AQ475" i="20"/>
  <c r="AO473" i="20"/>
  <c r="AR463" i="20"/>
  <c r="AK417" i="20"/>
  <c r="AM524" i="20"/>
  <c r="AO424" i="20"/>
  <c r="AR365" i="20"/>
  <c r="AD253" i="20"/>
  <c r="AK427" i="20"/>
  <c r="AS574" i="20"/>
  <c r="AJ413" i="20"/>
  <c r="AM515" i="20"/>
  <c r="AM459" i="20"/>
  <c r="AR471" i="20"/>
  <c r="AF543" i="20"/>
  <c r="AF551" i="20"/>
  <c r="AS451" i="20"/>
  <c r="AS360" i="20"/>
  <c r="AN515" i="20"/>
  <c r="AQ503" i="20"/>
  <c r="AF115" i="20"/>
  <c r="AP413" i="20"/>
  <c r="AN346" i="20"/>
  <c r="AM545" i="20"/>
  <c r="AF547" i="20"/>
  <c r="AN507" i="20"/>
  <c r="AR131" i="20"/>
  <c r="AK463" i="20"/>
  <c r="AS413" i="20"/>
  <c r="AO300" i="20"/>
  <c r="AF459" i="20"/>
  <c r="AR304" i="20"/>
  <c r="AF90" i="20"/>
  <c r="AF225" i="20"/>
  <c r="AD160" i="20"/>
  <c r="AN91" i="20"/>
  <c r="AJ193" i="20"/>
  <c r="AS567" i="20"/>
  <c r="AL527" i="20"/>
  <c r="AJ491" i="20"/>
  <c r="AO455" i="20"/>
  <c r="AM403" i="20"/>
  <c r="AQ340" i="20"/>
  <c r="AF300" i="20"/>
  <c r="AF276" i="20"/>
  <c r="AN252" i="20"/>
  <c r="AO216" i="20"/>
  <c r="AF139" i="20"/>
  <c r="AO172" i="20"/>
  <c r="AL466" i="20"/>
  <c r="AO410" i="20"/>
  <c r="AI371" i="20"/>
  <c r="AM319" i="20"/>
  <c r="AI283" i="20"/>
  <c r="AF235" i="20"/>
  <c r="AO203" i="20"/>
  <c r="AN154" i="20"/>
  <c r="AK84" i="20"/>
  <c r="AO478" i="20"/>
  <c r="AQ128" i="20"/>
  <c r="AK547" i="20"/>
  <c r="AS479" i="20"/>
  <c r="AF471" i="20"/>
  <c r="AM451" i="20"/>
  <c r="AQ427" i="20"/>
  <c r="AM376" i="20"/>
  <c r="AM356" i="20"/>
  <c r="AL332" i="20"/>
  <c r="AR236" i="20"/>
  <c r="AR204" i="20"/>
  <c r="AN99" i="20"/>
  <c r="AR81" i="20"/>
  <c r="AQ332" i="20"/>
  <c r="AN280" i="20"/>
  <c r="AN523" i="20"/>
  <c r="AR288" i="20"/>
  <c r="AP352" i="20"/>
  <c r="AS427" i="20"/>
  <c r="AR483" i="20"/>
  <c r="AF539" i="20"/>
  <c r="AF463" i="20"/>
  <c r="AS260" i="20"/>
  <c r="AS356" i="20"/>
  <c r="AF228" i="20"/>
  <c r="AM479" i="20"/>
  <c r="AK535" i="20"/>
  <c r="AQ216" i="20"/>
  <c r="AD372" i="20"/>
  <c r="AQ329" i="20"/>
  <c r="AR217" i="20"/>
  <c r="AN571" i="20"/>
  <c r="AL559" i="20"/>
  <c r="AP543" i="20"/>
  <c r="AK531" i="20"/>
  <c r="AS527" i="20"/>
  <c r="AM499" i="20"/>
  <c r="AN479" i="20"/>
  <c r="AK459" i="20"/>
  <c r="AI447" i="20"/>
  <c r="AL435" i="20"/>
  <c r="AM386" i="20"/>
  <c r="AR348" i="20"/>
  <c r="AQ244" i="20"/>
  <c r="AK224" i="20"/>
  <c r="AK188" i="20"/>
  <c r="AJ155" i="20"/>
  <c r="AP105" i="20"/>
  <c r="AO363" i="20"/>
  <c r="AF217" i="20"/>
  <c r="AN309" i="20"/>
  <c r="AK100" i="20"/>
  <c r="AQ253" i="20"/>
  <c r="AO201" i="20"/>
  <c r="AI527" i="20"/>
  <c r="AK432" i="20"/>
  <c r="AJ424" i="20"/>
  <c r="AR424" i="20"/>
  <c r="AM412" i="20"/>
  <c r="AQ412" i="20"/>
  <c r="AL341" i="20"/>
  <c r="AK341" i="20"/>
  <c r="AF341" i="20"/>
  <c r="AR333" i="20"/>
  <c r="AJ333" i="20"/>
  <c r="AO325" i="20"/>
  <c r="AQ313" i="20"/>
  <c r="AM313" i="20"/>
  <c r="AI313" i="20"/>
  <c r="AR305" i="20"/>
  <c r="AS305" i="20"/>
  <c r="AQ297" i="20"/>
  <c r="AF297" i="20"/>
  <c r="AQ289" i="20"/>
  <c r="AP289" i="20"/>
  <c r="AO281" i="20"/>
  <c r="AD281" i="20"/>
  <c r="AR281" i="20"/>
  <c r="AE505" i="20"/>
  <c r="AE213" i="20"/>
  <c r="AS308" i="20"/>
  <c r="AE235" i="20"/>
  <c r="AE297" i="20"/>
  <c r="AQ52" i="20"/>
  <c r="AO162" i="20"/>
  <c r="AP53" i="20"/>
  <c r="AO56" i="20"/>
  <c r="AO378" i="20"/>
  <c r="AO116" i="20"/>
  <c r="AO149" i="20"/>
  <c r="AF131" i="20"/>
  <c r="AD57" i="20"/>
  <c r="AF51" i="20"/>
  <c r="AK59" i="20"/>
  <c r="AP60" i="20"/>
  <c r="AF161" i="20"/>
  <c r="AO447" i="20"/>
  <c r="AP553" i="20"/>
  <c r="AD409" i="20"/>
  <c r="AF314" i="20"/>
  <c r="AI238" i="20"/>
  <c r="AR165" i="20"/>
  <c r="AQ92" i="20"/>
  <c r="AI69" i="20"/>
  <c r="AR296" i="20"/>
  <c r="AF340" i="20"/>
  <c r="AF284" i="20"/>
  <c r="AR485" i="20"/>
  <c r="AF452" i="20"/>
  <c r="AR373" i="20"/>
  <c r="AS285" i="20"/>
  <c r="AF69" i="20"/>
  <c r="AP527" i="20"/>
  <c r="AI81" i="20"/>
  <c r="AK336" i="20"/>
  <c r="AR423" i="20"/>
  <c r="AO423" i="20"/>
  <c r="AR555" i="20"/>
  <c r="AQ368" i="20"/>
  <c r="AN328" i="20"/>
  <c r="AQ316" i="20"/>
  <c r="AS121" i="20"/>
  <c r="AM455" i="20"/>
  <c r="AF453" i="20"/>
  <c r="AQ344" i="20"/>
  <c r="AM325" i="20"/>
  <c r="AR324" i="20"/>
  <c r="AI571" i="20"/>
  <c r="AR435" i="20"/>
  <c r="AN304" i="20"/>
  <c r="AL233" i="20"/>
  <c r="AR132" i="20"/>
  <c r="AS237" i="20"/>
  <c r="AF82" i="20"/>
  <c r="AK519" i="20"/>
  <c r="AQ467" i="20"/>
  <c r="AD415" i="20"/>
  <c r="AR336" i="20"/>
  <c r="AD288" i="20"/>
  <c r="AQ260" i="20"/>
  <c r="AR196" i="20"/>
  <c r="AR123" i="20"/>
  <c r="AQ470" i="20"/>
  <c r="AD406" i="20"/>
  <c r="AM339" i="20"/>
  <c r="AI291" i="20"/>
  <c r="AF223" i="20"/>
  <c r="AS175" i="20"/>
  <c r="AM93" i="20"/>
  <c r="AF478" i="20"/>
  <c r="AO571" i="20"/>
  <c r="AF499" i="20"/>
  <c r="AL459" i="20"/>
  <c r="AR443" i="20"/>
  <c r="AF399" i="20"/>
  <c r="AO356" i="20"/>
  <c r="AD312" i="20"/>
  <c r="AN204" i="20"/>
  <c r="AQ85" i="20"/>
  <c r="AR171" i="20"/>
  <c r="AQ535" i="20"/>
  <c r="AO240" i="20"/>
  <c r="AS312" i="20"/>
  <c r="AS403" i="20"/>
  <c r="AR499" i="20"/>
  <c r="AF260" i="20"/>
  <c r="AS131" i="20"/>
  <c r="AE52" i="20"/>
  <c r="AO95" i="20"/>
  <c r="AO83" i="20"/>
  <c r="AO64" i="20"/>
  <c r="AI56" i="20"/>
  <c r="AO350" i="20"/>
  <c r="AO156" i="20"/>
  <c r="AO90" i="20"/>
  <c r="AN57" i="20"/>
  <c r="AQ51" i="20"/>
  <c r="AN60" i="20"/>
  <c r="AK157" i="20"/>
  <c r="AP403" i="20"/>
  <c r="AQ441" i="20"/>
  <c r="AL306" i="20"/>
  <c r="AD206" i="20"/>
  <c r="AL121" i="20"/>
  <c r="AQ268" i="20"/>
  <c r="AQ403" i="20"/>
  <c r="AQ425" i="20"/>
  <c r="AL553" i="20"/>
  <c r="AQ408" i="20"/>
  <c r="AF313" i="20"/>
  <c r="AP356" i="20"/>
  <c r="AK465" i="20"/>
  <c r="AN487" i="20"/>
  <c r="AO352" i="20"/>
  <c r="AS155" i="20"/>
  <c r="AS419" i="20"/>
  <c r="AN248" i="20"/>
  <c r="AR103" i="20"/>
  <c r="AR527" i="20"/>
  <c r="AF449" i="20"/>
  <c r="AN240" i="20"/>
  <c r="AO389" i="20"/>
  <c r="AF525" i="20"/>
  <c r="AQ328" i="20"/>
  <c r="AN69" i="20"/>
  <c r="AM120" i="20"/>
  <c r="AI177" i="20"/>
  <c r="AN543" i="20"/>
  <c r="AS463" i="20"/>
  <c r="AP360" i="20"/>
  <c r="AF292" i="20"/>
  <c r="AI244" i="20"/>
  <c r="AM171" i="20"/>
  <c r="AN478" i="20"/>
  <c r="AN402" i="20"/>
  <c r="AN303" i="20"/>
  <c r="AI239" i="20"/>
  <c r="AK166" i="20"/>
  <c r="AF315" i="20"/>
  <c r="AN128" i="20"/>
  <c r="AD475" i="20"/>
  <c r="AK451" i="20"/>
  <c r="AR399" i="20"/>
  <c r="AI352" i="20"/>
  <c r="AK220" i="20"/>
  <c r="AS99" i="20"/>
  <c r="AQ284" i="20"/>
  <c r="AN376" i="20"/>
  <c r="AF296" i="20"/>
  <c r="AS443" i="20"/>
  <c r="AS531" i="20"/>
  <c r="AF479" i="20"/>
  <c r="AN471" i="20"/>
  <c r="AM467" i="20"/>
  <c r="AM535" i="20"/>
  <c r="AL256" i="20"/>
  <c r="AP499" i="20"/>
  <c r="AK217" i="20"/>
  <c r="AJ563" i="20"/>
  <c r="AM547" i="20"/>
  <c r="AD531" i="20"/>
  <c r="AJ515" i="20"/>
  <c r="AK483" i="20"/>
  <c r="AJ459" i="20"/>
  <c r="AL447" i="20"/>
  <c r="AM423" i="20"/>
  <c r="AD352" i="20"/>
  <c r="AN244" i="20"/>
  <c r="AM212" i="20"/>
  <c r="AO171" i="20"/>
  <c r="AO486" i="20"/>
  <c r="AS355" i="20"/>
  <c r="AL181" i="20"/>
  <c r="AF448" i="20"/>
  <c r="AQ120" i="20"/>
  <c r="AS177" i="20"/>
  <c r="AN500" i="20"/>
  <c r="AJ432" i="20"/>
  <c r="AQ424" i="20"/>
  <c r="AN412" i="20"/>
  <c r="AS377" i="20"/>
  <c r="AR341" i="20"/>
  <c r="AM333" i="20"/>
  <c r="AD333" i="20"/>
  <c r="AR325" i="20"/>
  <c r="AD313" i="20"/>
  <c r="AN313" i="20"/>
  <c r="AQ305" i="20"/>
  <c r="AF305" i="20"/>
  <c r="AK297" i="20"/>
  <c r="AF289" i="20"/>
  <c r="AR289" i="20"/>
  <c r="AK281" i="20"/>
  <c r="AS281" i="20"/>
  <c r="AS273" i="20"/>
  <c r="AR265" i="20"/>
  <c r="AK265" i="20"/>
  <c r="AJ257" i="20"/>
  <c r="AL257" i="20"/>
  <c r="AM249" i="20"/>
  <c r="AI249" i="20"/>
  <c r="AM241" i="20"/>
  <c r="AP229" i="20"/>
  <c r="AQ229" i="20"/>
  <c r="AR221" i="20"/>
  <c r="AN213" i="20"/>
  <c r="AF213" i="20"/>
  <c r="AK205" i="20"/>
  <c r="AD205" i="20"/>
  <c r="AS205" i="20"/>
  <c r="AD197" i="20"/>
  <c r="AP197" i="20"/>
  <c r="AP189" i="20"/>
  <c r="AK189" i="20"/>
  <c r="AQ181" i="20"/>
  <c r="AM181" i="20"/>
  <c r="AI173" i="20"/>
  <c r="AP173" i="20"/>
  <c r="AL164" i="20"/>
  <c r="AQ164" i="20"/>
  <c r="AP156" i="20"/>
  <c r="AR156" i="20"/>
  <c r="AP148" i="20"/>
  <c r="AP140" i="20"/>
  <c r="AM140" i="20"/>
  <c r="AJ140" i="20"/>
  <c r="AQ132" i="20"/>
  <c r="AP124" i="20"/>
  <c r="AS124" i="20"/>
  <c r="AK116" i="20"/>
  <c r="AN100" i="20"/>
  <c r="AP87" i="20"/>
  <c r="AF432" i="20"/>
  <c r="AF140" i="20"/>
  <c r="AF249" i="20"/>
  <c r="AQ281" i="20"/>
  <c r="AO181" i="20"/>
  <c r="AS241" i="20"/>
  <c r="AN156" i="20"/>
  <c r="AK289" i="20"/>
  <c r="AO213" i="20"/>
  <c r="AF416" i="20"/>
  <c r="AF106" i="20"/>
  <c r="AS193" i="20"/>
  <c r="AN185" i="20"/>
  <c r="AD156" i="20"/>
  <c r="AK273" i="20"/>
  <c r="AI221" i="20"/>
  <c r="AJ520" i="20"/>
  <c r="AM436" i="20"/>
  <c r="AN428" i="20"/>
  <c r="AL420" i="20"/>
  <c r="AD329" i="20"/>
  <c r="AS329" i="20"/>
  <c r="AI321" i="20"/>
  <c r="AF321" i="20"/>
  <c r="AN317" i="20"/>
  <c r="AS317" i="20"/>
  <c r="AR309" i="20"/>
  <c r="AJ309" i="20"/>
  <c r="AN301" i="20"/>
  <c r="AM293" i="20"/>
  <c r="AL285" i="20"/>
  <c r="AN285" i="20"/>
  <c r="AN277" i="20"/>
  <c r="AF277" i="20"/>
  <c r="AP269" i="20"/>
  <c r="AR269" i="20"/>
  <c r="AR261" i="20"/>
  <c r="AK253" i="20"/>
  <c r="AR253" i="20"/>
  <c r="AP245" i="20"/>
  <c r="AO245" i="20"/>
  <c r="AI233" i="20"/>
  <c r="AP233" i="20"/>
  <c r="AK225" i="20"/>
  <c r="AD225" i="20"/>
  <c r="AQ225" i="20"/>
  <c r="AN217" i="20"/>
  <c r="AO217" i="20"/>
  <c r="AO209" i="20"/>
  <c r="AQ209" i="20"/>
  <c r="AM201" i="20"/>
  <c r="AI201" i="20"/>
  <c r="AD193" i="20"/>
  <c r="AK193" i="20"/>
  <c r="AF193" i="20"/>
  <c r="AP185" i="20"/>
  <c r="AR185" i="20"/>
  <c r="AP177" i="20"/>
  <c r="AQ177" i="20"/>
  <c r="AM168" i="20"/>
  <c r="AR168" i="20"/>
  <c r="AD168" i="20"/>
  <c r="AR160" i="20"/>
  <c r="AI160" i="20"/>
  <c r="AD152" i="20"/>
  <c r="AL152" i="20"/>
  <c r="AN144" i="20"/>
  <c r="AK144" i="20"/>
  <c r="AI136" i="20"/>
  <c r="AQ136" i="20"/>
  <c r="AK128" i="20"/>
  <c r="AI128" i="20"/>
  <c r="AN120" i="20"/>
  <c r="AD104" i="20"/>
  <c r="AL104" i="20"/>
  <c r="AF333" i="20"/>
  <c r="AF164" i="20"/>
  <c r="AF233" i="20"/>
  <c r="AS213" i="20"/>
  <c r="AK173" i="20"/>
  <c r="AO185" i="20"/>
  <c r="AR116" i="20"/>
  <c r="AJ148" i="20"/>
  <c r="AI168" i="20"/>
  <c r="AS253" i="20"/>
  <c r="AL273" i="20"/>
  <c r="AN229" i="20"/>
  <c r="AL297" i="20"/>
  <c r="AJ561" i="20"/>
  <c r="AD573" i="20"/>
  <c r="AQ573" i="20"/>
  <c r="AO565" i="20"/>
  <c r="AF565" i="20"/>
  <c r="AQ557" i="20"/>
  <c r="AP525" i="20"/>
  <c r="AK517" i="20"/>
  <c r="AF517" i="20"/>
  <c r="AR505" i="20"/>
  <c r="AM489" i="20"/>
  <c r="AP485" i="20"/>
  <c r="AI477" i="20"/>
  <c r="AP477" i="20"/>
  <c r="AO469" i="20"/>
  <c r="AN461" i="20"/>
  <c r="AK453" i="20"/>
  <c r="AD445" i="20"/>
  <c r="AI437" i="20"/>
  <c r="AQ437" i="20"/>
  <c r="AK429" i="20"/>
  <c r="AI421" i="20"/>
  <c r="AM413" i="20"/>
  <c r="AS401" i="20"/>
  <c r="AP384" i="20"/>
  <c r="AF384" i="20"/>
  <c r="AJ366" i="20"/>
  <c r="AM358" i="20"/>
  <c r="AM346" i="20"/>
  <c r="AL214" i="20"/>
  <c r="AR76" i="20"/>
  <c r="AF533" i="20"/>
  <c r="AL79" i="20"/>
  <c r="AR541" i="20"/>
  <c r="AS461" i="20"/>
  <c r="AM384" i="20"/>
  <c r="AR413" i="20"/>
  <c r="AM441" i="20"/>
  <c r="AM505" i="20"/>
  <c r="AD362" i="20"/>
  <c r="AF374" i="20"/>
  <c r="AF481" i="20"/>
  <c r="AF358" i="20"/>
  <c r="AQ350" i="20"/>
  <c r="AL161" i="20"/>
  <c r="AQ429" i="20"/>
  <c r="AS437" i="20"/>
  <c r="AQ366" i="20"/>
  <c r="AQ397" i="20"/>
  <c r="AQ362" i="20"/>
  <c r="AI354" i="20"/>
  <c r="AP421" i="20"/>
  <c r="AO441" i="20"/>
  <c r="AQ525" i="20"/>
  <c r="AO561" i="20"/>
  <c r="AP350" i="20"/>
  <c r="AD571" i="20"/>
  <c r="AI567" i="20"/>
  <c r="AR567" i="20"/>
  <c r="AD563" i="20"/>
  <c r="AK559" i="20"/>
  <c r="AL555" i="20"/>
  <c r="AO551" i="20"/>
  <c r="AQ565" i="20"/>
  <c r="AF397" i="20"/>
  <c r="AF370" i="20"/>
  <c r="AF465" i="20"/>
  <c r="AS234" i="20"/>
  <c r="AR350" i="20"/>
  <c r="AD425" i="20"/>
  <c r="AM429" i="20"/>
  <c r="AS485" i="20"/>
  <c r="AN384" i="20"/>
  <c r="AS409" i="20"/>
  <c r="AN350" i="20"/>
  <c r="AR405" i="20"/>
  <c r="AR384" i="20"/>
  <c r="AJ421" i="20"/>
  <c r="AQ449" i="20"/>
  <c r="AN525" i="20"/>
  <c r="AN569" i="20"/>
  <c r="AD553" i="20"/>
  <c r="AL545" i="20"/>
  <c r="AD537" i="20"/>
  <c r="AL529" i="20"/>
  <c r="AO529" i="20"/>
  <c r="AK521" i="20"/>
  <c r="AD521" i="20"/>
  <c r="AK513" i="20"/>
  <c r="AJ509" i="20"/>
  <c r="AS509" i="20"/>
  <c r="AP481" i="20"/>
  <c r="AD473" i="20"/>
  <c r="AF473" i="20"/>
  <c r="AS465" i="20"/>
  <c r="AQ457" i="20"/>
  <c r="AP449" i="20"/>
  <c r="AN449" i="20"/>
  <c r="AJ425" i="20"/>
  <c r="AI417" i="20"/>
  <c r="AN417" i="20"/>
  <c r="AO409" i="20"/>
  <c r="AJ405" i="20"/>
  <c r="AJ397" i="20"/>
  <c r="AM389" i="20"/>
  <c r="AM378" i="20"/>
  <c r="AJ370" i="20"/>
  <c r="AJ362" i="20"/>
  <c r="AP354" i="20"/>
  <c r="AL186" i="20"/>
  <c r="AL52" i="20"/>
  <c r="AO133" i="20"/>
  <c r="AQ569" i="20"/>
  <c r="AO132" i="20"/>
  <c r="AO93" i="20"/>
  <c r="AF121" i="20"/>
  <c r="AP57" i="20"/>
  <c r="AD60" i="20"/>
  <c r="AK61" i="20"/>
  <c r="AS569" i="20"/>
  <c r="AK370" i="20"/>
  <c r="AS226" i="20"/>
  <c r="AM97" i="20"/>
  <c r="AN296" i="20"/>
  <c r="AM348" i="20"/>
  <c r="AN556" i="20"/>
  <c r="AI361" i="20"/>
  <c r="AF63" i="20"/>
  <c r="AO453" i="20"/>
  <c r="AD216" i="20"/>
  <c r="AK75" i="20"/>
  <c r="AP336" i="20"/>
  <c r="AQ439" i="20"/>
  <c r="AL443" i="20"/>
  <c r="AF403" i="20"/>
  <c r="AR569" i="20"/>
  <c r="AL352" i="20"/>
  <c r="AN443" i="20"/>
  <c r="AK181" i="20"/>
  <c r="AK201" i="20"/>
  <c r="AQ515" i="20"/>
  <c r="AP431" i="20"/>
  <c r="AS304" i="20"/>
  <c r="AF232" i="20"/>
  <c r="AM105" i="20"/>
  <c r="AF426" i="20"/>
  <c r="AN299" i="20"/>
  <c r="AS207" i="20"/>
  <c r="AN387" i="20"/>
  <c r="AQ555" i="20"/>
  <c r="AF475" i="20"/>
  <c r="AM407" i="20"/>
  <c r="AJ352" i="20"/>
  <c r="AS115" i="20"/>
  <c r="AF147" i="20"/>
  <c r="AN475" i="20"/>
  <c r="AQ360" i="20"/>
  <c r="AD507" i="20"/>
  <c r="AK471" i="20"/>
  <c r="AJ308" i="20"/>
  <c r="AO519" i="20"/>
  <c r="AS431" i="20"/>
  <c r="AQ241" i="20"/>
  <c r="AR494" i="20"/>
  <c r="AO547" i="20"/>
  <c r="AJ527" i="20"/>
  <c r="AP483" i="20"/>
  <c r="AD455" i="20"/>
  <c r="AK435" i="20"/>
  <c r="AI360" i="20"/>
  <c r="AQ240" i="20"/>
  <c r="AM188" i="20"/>
  <c r="AN105" i="20"/>
  <c r="AD343" i="20"/>
  <c r="AN205" i="20"/>
  <c r="AJ116" i="20"/>
  <c r="AP201" i="20"/>
  <c r="AR432" i="20"/>
  <c r="AL424" i="20"/>
  <c r="AP412" i="20"/>
  <c r="AP341" i="20"/>
  <c r="AO341" i="20"/>
  <c r="AI333" i="20"/>
  <c r="AL313" i="20"/>
  <c r="AP313" i="20"/>
  <c r="AO305" i="20"/>
  <c r="AM297" i="20"/>
  <c r="AM289" i="20"/>
  <c r="AI281" i="20"/>
  <c r="AN281" i="20"/>
  <c r="AO273" i="20"/>
  <c r="AJ265" i="20"/>
  <c r="AN257" i="20"/>
  <c r="AS257" i="20"/>
  <c r="AL249" i="20"/>
  <c r="AN241" i="20"/>
  <c r="AQ237" i="20"/>
  <c r="AM221" i="20"/>
  <c r="AI213" i="20"/>
  <c r="AR213" i="20"/>
  <c r="AR205" i="20"/>
  <c r="AI205" i="20"/>
  <c r="AJ197" i="20"/>
  <c r="AI189" i="20"/>
  <c r="AD189" i="20"/>
  <c r="AP181" i="20"/>
  <c r="AS181" i="20"/>
  <c r="AO173" i="20"/>
  <c r="AI164" i="20"/>
  <c r="AR164" i="20"/>
  <c r="AI156" i="20"/>
  <c r="AQ156" i="20"/>
  <c r="AR140" i="20"/>
  <c r="AK140" i="20"/>
  <c r="AK132" i="20"/>
  <c r="AL124" i="20"/>
  <c r="AD116" i="20"/>
  <c r="AF116" i="20"/>
  <c r="AL87" i="20"/>
  <c r="AF229" i="20"/>
  <c r="AF177" i="20"/>
  <c r="AK309" i="20"/>
  <c r="AR201" i="20"/>
  <c r="AQ144" i="20"/>
  <c r="AN124" i="20"/>
  <c r="AD173" i="20"/>
  <c r="AF132" i="20"/>
  <c r="AR297" i="20"/>
  <c r="AS100" i="20"/>
  <c r="AM164" i="20"/>
  <c r="AP305" i="20"/>
  <c r="AL436" i="20"/>
  <c r="AM428" i="20"/>
  <c r="AO420" i="20"/>
  <c r="AM329" i="20"/>
  <c r="AR329" i="20"/>
  <c r="AQ321" i="20"/>
  <c r="AQ317" i="20"/>
  <c r="AP309" i="20"/>
  <c r="AK301" i="20"/>
  <c r="AN293" i="20"/>
  <c r="AQ293" i="20"/>
  <c r="AO285" i="20"/>
  <c r="AR277" i="20"/>
  <c r="AI269" i="20"/>
  <c r="AL269" i="20"/>
  <c r="AD261" i="20"/>
  <c r="AN253" i="20"/>
  <c r="AR245" i="20"/>
  <c r="AS245" i="20"/>
  <c r="AS233" i="20"/>
  <c r="AJ225" i="20"/>
  <c r="AP225" i="20"/>
  <c r="AD217" i="20"/>
  <c r="AD209" i="20"/>
  <c r="AJ209" i="20"/>
  <c r="AN209" i="20"/>
  <c r="AL201" i="20"/>
  <c r="AR193" i="20"/>
  <c r="AQ193" i="20"/>
  <c r="AQ185" i="20"/>
  <c r="AJ185" i="20"/>
  <c r="AK177" i="20"/>
  <c r="AJ168" i="20"/>
  <c r="AN168" i="20"/>
  <c r="AL160" i="20"/>
  <c r="AJ160" i="20"/>
  <c r="AQ152" i="20"/>
  <c r="AD144" i="20"/>
  <c r="AS144" i="20"/>
  <c r="AN136" i="20"/>
  <c r="AF136" i="20"/>
  <c r="AR128" i="20"/>
  <c r="AR120" i="20"/>
  <c r="AF104" i="20"/>
  <c r="AF293" i="20"/>
  <c r="AK87" i="20"/>
  <c r="AS261" i="20"/>
  <c r="AJ201" i="20"/>
  <c r="AL309" i="20"/>
  <c r="AN152" i="20"/>
  <c r="AQ245" i="20"/>
  <c r="AQ124" i="20"/>
  <c r="AL265" i="20"/>
  <c r="AM136" i="20"/>
  <c r="AR63" i="20"/>
  <c r="AR573" i="20"/>
  <c r="AD565" i="20"/>
  <c r="AK557" i="20"/>
  <c r="AL533" i="20"/>
  <c r="AM517" i="20"/>
  <c r="AD505" i="20"/>
  <c r="AN489" i="20"/>
  <c r="AD485" i="20"/>
  <c r="AS477" i="20"/>
  <c r="AK469" i="20"/>
  <c r="AL461" i="20"/>
  <c r="AR453" i="20"/>
  <c r="AM445" i="20"/>
  <c r="AI429" i="20"/>
  <c r="AD429" i="20"/>
  <c r="AI413" i="20"/>
  <c r="AJ393" i="20"/>
  <c r="AJ384" i="20"/>
  <c r="AD366" i="20"/>
  <c r="AL358" i="20"/>
  <c r="AL346" i="20"/>
  <c r="AQ190" i="20"/>
  <c r="AF477" i="20"/>
  <c r="AR421" i="20"/>
  <c r="AS521" i="20"/>
  <c r="AD378" i="20"/>
  <c r="AP429" i="20"/>
  <c r="AQ469" i="20"/>
  <c r="AQ561" i="20"/>
  <c r="AF493" i="20"/>
  <c r="AF413" i="20"/>
  <c r="AS354" i="20"/>
  <c r="AO421" i="20"/>
  <c r="AR545" i="20"/>
  <c r="AK378" i="20"/>
  <c r="AN409" i="20"/>
  <c r="AL409" i="20"/>
  <c r="AP437" i="20"/>
  <c r="AR557" i="20"/>
  <c r="AK541" i="20"/>
  <c r="AP465" i="20"/>
  <c r="AL571" i="20"/>
  <c r="AN567" i="20"/>
  <c r="AL563" i="20"/>
  <c r="AI555" i="20"/>
  <c r="AI551" i="20"/>
  <c r="AN555" i="20"/>
  <c r="AF569" i="20"/>
  <c r="AF346" i="20"/>
  <c r="AP75" i="20"/>
  <c r="AF573" i="20"/>
  <c r="AL425" i="20"/>
  <c r="AR517" i="20"/>
  <c r="AN393" i="20"/>
  <c r="AF567" i="20"/>
  <c r="AR551" i="20"/>
  <c r="AJ559" i="20"/>
  <c r="AR525" i="20"/>
  <c r="AO489" i="20"/>
  <c r="AF561" i="20"/>
  <c r="AF553" i="20"/>
  <c r="AP537" i="20"/>
  <c r="AP529" i="20"/>
  <c r="AP521" i="20"/>
  <c r="AQ521" i="20"/>
  <c r="AD509" i="20"/>
  <c r="AQ509" i="20"/>
  <c r="AK481" i="20"/>
  <c r="AM473" i="20"/>
  <c r="AR465" i="20"/>
  <c r="AL457" i="20"/>
  <c r="AK449" i="20"/>
  <c r="AL441" i="20"/>
  <c r="AR417" i="20"/>
  <c r="AP409" i="20"/>
  <c r="AM405" i="20"/>
  <c r="AR397" i="20"/>
  <c r="AP378" i="20"/>
  <c r="AO370" i="20"/>
  <c r="AN362" i="20"/>
  <c r="AL354" i="20"/>
  <c r="AF210" i="20"/>
  <c r="AS190" i="20"/>
  <c r="AS473" i="20"/>
  <c r="AR429" i="20"/>
  <c r="AQ384" i="20"/>
  <c r="AK409" i="20"/>
  <c r="AR409" i="20"/>
  <c r="AO505" i="20"/>
  <c r="AP547" i="20"/>
  <c r="AK543" i="20"/>
  <c r="AN535" i="20"/>
  <c r="AK527" i="20"/>
  <c r="AP519" i="20"/>
  <c r="AN519" i="20"/>
  <c r="AD515" i="20"/>
  <c r="AJ507" i="20"/>
  <c r="AP503" i="20"/>
  <c r="AJ487" i="20"/>
  <c r="AI479" i="20"/>
  <c r="AD467" i="20"/>
  <c r="AP455" i="20"/>
  <c r="AD443" i="20"/>
  <c r="AP435" i="20"/>
  <c r="AO431" i="20"/>
  <c r="AK431" i="20"/>
  <c r="AI423" i="20"/>
  <c r="AL419" i="20"/>
  <c r="AP415" i="20"/>
  <c r="AK415" i="20"/>
  <c r="AR407" i="20"/>
  <c r="AJ399" i="20"/>
  <c r="AL399" i="20"/>
  <c r="AD395" i="20"/>
  <c r="AL386" i="20"/>
  <c r="AM372" i="20"/>
  <c r="AD360" i="20"/>
  <c r="AK352" i="20"/>
  <c r="AD344" i="20"/>
  <c r="AS336" i="20"/>
  <c r="AP232" i="20"/>
  <c r="AI90" i="20"/>
  <c r="AN81" i="20"/>
  <c r="AR147" i="20"/>
  <c r="AQ415" i="20"/>
  <c r="AD463" i="20"/>
  <c r="AN352" i="20"/>
  <c r="AN499" i="20"/>
  <c r="AS280" i="20"/>
  <c r="AQ312" i="20"/>
  <c r="AQ352" i="20"/>
  <c r="AF386" i="20"/>
  <c r="AF427" i="20"/>
  <c r="AS467" i="20"/>
  <c r="AQ499" i="20"/>
  <c r="AD539" i="20"/>
  <c r="AF519" i="20"/>
  <c r="AF447" i="20"/>
  <c r="AS252" i="20"/>
  <c r="AQ105" i="20"/>
  <c r="AR356" i="20"/>
  <c r="AI348" i="20"/>
  <c r="AL348" i="20"/>
  <c r="AL471" i="20"/>
  <c r="AS535" i="20"/>
  <c r="AR180" i="20"/>
  <c r="AR455" i="20"/>
  <c r="AO332" i="20"/>
  <c r="AM487" i="20"/>
  <c r="AO531" i="20"/>
  <c r="AJ447" i="20"/>
  <c r="AL467" i="20"/>
  <c r="AJ531" i="20"/>
  <c r="AM81" i="20"/>
  <c r="AM139" i="20"/>
  <c r="AK423" i="20"/>
  <c r="AO386" i="20"/>
  <c r="AJ451" i="20"/>
  <c r="AP443" i="20"/>
  <c r="AD569" i="20"/>
  <c r="AI565" i="20"/>
  <c r="AP561" i="20"/>
  <c r="AI561" i="20"/>
  <c r="AI541" i="20"/>
  <c r="AI537" i="20"/>
  <c r="AJ52" i="20"/>
  <c r="AL56" i="20"/>
  <c r="AO136" i="20"/>
  <c r="AS105" i="20"/>
  <c r="AR51" i="20"/>
  <c r="AI443" i="20"/>
  <c r="AP497" i="20"/>
  <c r="AO266" i="20"/>
  <c r="AL75" i="20"/>
  <c r="AQ547" i="20"/>
  <c r="AP559" i="20"/>
  <c r="AD321" i="20"/>
  <c r="AR69" i="20"/>
  <c r="AM551" i="20"/>
  <c r="AF563" i="20"/>
  <c r="AR240" i="20"/>
  <c r="AI487" i="20"/>
  <c r="AR360" i="20"/>
  <c r="AJ551" i="20"/>
  <c r="AP368" i="20"/>
  <c r="AJ173" i="20"/>
  <c r="AO559" i="20"/>
  <c r="AN435" i="20"/>
  <c r="AM284" i="20"/>
  <c r="AI180" i="20"/>
  <c r="AK442" i="20"/>
  <c r="AI255" i="20"/>
  <c r="AF138" i="20"/>
  <c r="AF317" i="20"/>
  <c r="AO459" i="20"/>
  <c r="AS372" i="20"/>
  <c r="AO220" i="20"/>
  <c r="AQ431" i="20"/>
  <c r="AS264" i="20"/>
  <c r="AR467" i="20"/>
  <c r="AJ471" i="20"/>
  <c r="AL156" i="20"/>
  <c r="AQ81" i="20"/>
  <c r="AR241" i="20"/>
  <c r="AR559" i="20"/>
  <c r="AD527" i="20"/>
  <c r="AD479" i="20"/>
  <c r="AN455" i="20"/>
  <c r="AL360" i="20"/>
  <c r="AI240" i="20"/>
  <c r="AP155" i="20"/>
  <c r="AR355" i="20"/>
  <c r="AS209" i="20"/>
  <c r="AP132" i="20"/>
  <c r="AP432" i="20"/>
  <c r="AN416" i="20"/>
  <c r="AS412" i="20"/>
  <c r="AS341" i="20"/>
  <c r="AN325" i="20"/>
  <c r="AK313" i="20"/>
  <c r="AL305" i="20"/>
  <c r="AD297" i="20"/>
  <c r="AD289" i="20"/>
  <c r="AF281" i="20"/>
  <c r="AI265" i="20"/>
  <c r="AS265" i="20"/>
  <c r="AQ257" i="20"/>
  <c r="AN249" i="20"/>
  <c r="AD241" i="20"/>
  <c r="AM229" i="20"/>
  <c r="AQ213" i="20"/>
  <c r="AJ213" i="20"/>
  <c r="AM205" i="20"/>
  <c r="AN197" i="20"/>
  <c r="AR189" i="20"/>
  <c r="AL189" i="20"/>
  <c r="AF181" i="20"/>
  <c r="AL173" i="20"/>
  <c r="AP164" i="20"/>
  <c r="AS156" i="20"/>
  <c r="AI148" i="20"/>
  <c r="AN140" i="20"/>
  <c r="AS132" i="20"/>
  <c r="AM124" i="20"/>
  <c r="AM116" i="20"/>
  <c r="AI87" i="20"/>
  <c r="AF185" i="20"/>
  <c r="AS173" i="20"/>
  <c r="AR229" i="20"/>
  <c r="AL225" i="20"/>
  <c r="AD221" i="20"/>
  <c r="AF265" i="20"/>
  <c r="AQ173" i="20"/>
  <c r="AD164" i="20"/>
  <c r="AD229" i="20"/>
  <c r="AO436" i="20"/>
  <c r="AM420" i="20"/>
  <c r="AL329" i="20"/>
  <c r="AJ321" i="20"/>
  <c r="AP317" i="20"/>
  <c r="AO309" i="20"/>
  <c r="AR301" i="20"/>
  <c r="AS293" i="20"/>
  <c r="AJ277" i="20"/>
  <c r="AP277" i="20"/>
  <c r="AQ269" i="20"/>
  <c r="AP261" i="20"/>
  <c r="AN245" i="20"/>
  <c r="AF245" i="20"/>
  <c r="AN233" i="20"/>
  <c r="AR225" i="20"/>
  <c r="AP217" i="20"/>
  <c r="AK209" i="20"/>
  <c r="AP209" i="20"/>
  <c r="AN201" i="20"/>
  <c r="AN193" i="20"/>
  <c r="AD185" i="20"/>
  <c r="AL185" i="20"/>
  <c r="AO177" i="20"/>
  <c r="AS168" i="20"/>
  <c r="AP160" i="20"/>
  <c r="AQ160" i="20"/>
  <c r="AR152" i="20"/>
  <c r="AL144" i="20"/>
  <c r="AS136" i="20"/>
  <c r="AF128" i="20"/>
  <c r="AI120" i="20"/>
  <c r="AQ104" i="20"/>
  <c r="AF205" i="20"/>
  <c r="AF257" i="20"/>
  <c r="AD432" i="20"/>
  <c r="AS424" i="20"/>
  <c r="AM152" i="20"/>
  <c r="AK213" i="20"/>
  <c r="AL261" i="20"/>
  <c r="AJ63" i="20"/>
  <c r="AJ565" i="20"/>
  <c r="AR565" i="20"/>
  <c r="AM541" i="20"/>
  <c r="AL517" i="20"/>
  <c r="AI489" i="20"/>
  <c r="AM485" i="20"/>
  <c r="AR477" i="20"/>
  <c r="AF469" i="20"/>
  <c r="AQ453" i="20"/>
  <c r="AR437" i="20"/>
  <c r="AN429" i="20"/>
  <c r="AN421" i="20"/>
  <c r="AL393" i="20"/>
  <c r="AI366" i="20"/>
  <c r="AS366" i="20"/>
  <c r="AS346" i="20"/>
  <c r="AF537" i="20"/>
  <c r="AO346" i="20"/>
  <c r="AQ477" i="20"/>
  <c r="AK413" i="20"/>
  <c r="AR445" i="20"/>
  <c r="AP80" i="20"/>
  <c r="AF545" i="20"/>
  <c r="AF79" i="20"/>
  <c r="AR425" i="20"/>
  <c r="AS449" i="20"/>
  <c r="AN405" i="20"/>
  <c r="AJ378" i="20"/>
  <c r="AP441" i="20"/>
  <c r="AM83" i="20"/>
  <c r="AP389" i="20"/>
  <c r="AP567" i="20"/>
  <c r="AP563" i="20"/>
  <c r="AD555" i="20"/>
  <c r="AS551" i="20"/>
  <c r="AF505" i="20"/>
  <c r="AF541" i="20"/>
  <c r="AO242" i="20"/>
  <c r="AM421" i="20"/>
  <c r="AK366" i="20"/>
  <c r="AO555" i="20"/>
  <c r="AQ374" i="20"/>
  <c r="AD417" i="20"/>
  <c r="AN469" i="20"/>
  <c r="AN561" i="20"/>
  <c r="AK545" i="20"/>
  <c r="AQ537" i="20"/>
  <c r="AN521" i="20"/>
  <c r="AD513" i="20"/>
  <c r="AO509" i="20"/>
  <c r="AR501" i="20"/>
  <c r="AQ473" i="20"/>
  <c r="AO457" i="20"/>
  <c r="AO449" i="20"/>
  <c r="AS425" i="20"/>
  <c r="AQ417" i="20"/>
  <c r="AI405" i="20"/>
  <c r="AD389" i="20"/>
  <c r="AL378" i="20"/>
  <c r="AP362" i="20"/>
  <c r="AQ354" i="20"/>
  <c r="AF190" i="20"/>
  <c r="AO362" i="20"/>
  <c r="AN366" i="20"/>
  <c r="AN397" i="20"/>
  <c r="AM393" i="20"/>
  <c r="AM469" i="20"/>
  <c r="AL547" i="20"/>
  <c r="AP535" i="20"/>
  <c r="AM527" i="20"/>
  <c r="AJ519" i="20"/>
  <c r="AP515" i="20"/>
  <c r="AK507" i="20"/>
  <c r="AR503" i="20"/>
  <c r="AO483" i="20"/>
  <c r="AP463" i="20"/>
  <c r="AP451" i="20"/>
  <c r="AJ435" i="20"/>
  <c r="AM431" i="20"/>
  <c r="AD427" i="20"/>
  <c r="AJ423" i="20"/>
  <c r="AO415" i="20"/>
  <c r="AP407" i="20"/>
  <c r="AL403" i="20"/>
  <c r="AP395" i="20"/>
  <c r="AD386" i="20"/>
  <c r="AP372" i="20"/>
  <c r="AK360" i="20"/>
  <c r="AK348" i="20"/>
  <c r="AL344" i="20"/>
  <c r="AJ232" i="20"/>
  <c r="AL85" i="20"/>
  <c r="AF99" i="20"/>
  <c r="AQ447" i="20"/>
  <c r="AN272" i="20"/>
  <c r="AN459" i="20"/>
  <c r="AS288" i="20"/>
  <c r="AF336" i="20"/>
  <c r="AF376" i="20"/>
  <c r="AF435" i="20"/>
  <c r="AS483" i="20"/>
  <c r="AQ531" i="20"/>
  <c r="AF204" i="20"/>
  <c r="AF348" i="20"/>
  <c r="AS127" i="20"/>
  <c r="AL475" i="20"/>
  <c r="AL236" i="20"/>
  <c r="AM360" i="20"/>
  <c r="AS455" i="20"/>
  <c r="AM447" i="20"/>
  <c r="AI308" i="20"/>
  <c r="AO503" i="20"/>
  <c r="AK523" i="20"/>
  <c r="AJ463" i="20"/>
  <c r="AP539" i="20"/>
  <c r="AL90" i="20"/>
  <c r="AD471" i="20"/>
  <c r="AR415" i="20"/>
  <c r="AS415" i="20"/>
  <c r="AP569" i="20"/>
  <c r="AK565" i="20"/>
  <c r="AK561" i="20"/>
  <c r="AP545" i="20"/>
  <c r="AO537" i="20"/>
  <c r="AD525" i="20"/>
  <c r="AD517" i="20"/>
  <c r="AJ501" i="20"/>
  <c r="AQ501" i="20"/>
  <c r="AO481" i="20"/>
  <c r="AP473" i="20"/>
  <c r="AM465" i="20"/>
  <c r="AM461" i="20"/>
  <c r="AN457" i="20"/>
  <c r="AQ445" i="20"/>
  <c r="AP397" i="20"/>
  <c r="AP370" i="20"/>
  <c r="AK350" i="20"/>
  <c r="AN194" i="20"/>
  <c r="AI393" i="20"/>
  <c r="AP490" i="20"/>
  <c r="AP470" i="20"/>
  <c r="AM462" i="20"/>
  <c r="AD450" i="20"/>
  <c r="AS442" i="20"/>
  <c r="AF394" i="20"/>
  <c r="AR367" i="20"/>
  <c r="AL351" i="20"/>
  <c r="AL347" i="20"/>
  <c r="AJ315" i="20"/>
  <c r="AS271" i="20"/>
  <c r="AD150" i="20"/>
  <c r="AF351" i="20"/>
  <c r="AP446" i="20"/>
  <c r="AS154" i="20"/>
  <c r="AI367" i="20"/>
  <c r="AQ367" i="20"/>
  <c r="AK355" i="20"/>
  <c r="AI183" i="20"/>
  <c r="AM442" i="20"/>
  <c r="AP454" i="20"/>
  <c r="AP478" i="20"/>
  <c r="AQ474" i="20"/>
  <c r="AP458" i="20"/>
  <c r="AQ446" i="20"/>
  <c r="AM390" i="20"/>
  <c r="AR371" i="20"/>
  <c r="AQ363" i="20"/>
  <c r="AP363" i="20"/>
  <c r="AJ295" i="20"/>
  <c r="AJ267" i="20"/>
  <c r="AR231" i="20"/>
  <c r="AJ199" i="20"/>
  <c r="AO170" i="20"/>
  <c r="AJ146" i="20"/>
  <c r="AF367" i="20"/>
  <c r="AR375" i="20"/>
  <c r="AI158" i="20"/>
  <c r="AF446" i="20"/>
  <c r="AF187" i="20"/>
  <c r="AJ251" i="20"/>
  <c r="AM367" i="20"/>
  <c r="AS458" i="20"/>
  <c r="AL175" i="20"/>
  <c r="AR450" i="20"/>
  <c r="AD265" i="20"/>
  <c r="AN341" i="20"/>
  <c r="AP325" i="20"/>
  <c r="AK321" i="20"/>
  <c r="AD309" i="20"/>
  <c r="AI293" i="20"/>
  <c r="AD285" i="20"/>
  <c r="AD257" i="20"/>
  <c r="AD249" i="20"/>
  <c r="AP241" i="20"/>
  <c r="AP221" i="20"/>
  <c r="AM217" i="20"/>
  <c r="AJ128" i="20"/>
  <c r="AM104" i="20"/>
  <c r="AI100" i="20"/>
  <c r="AI427" i="20"/>
  <c r="AR343" i="20"/>
  <c r="AO331" i="20"/>
  <c r="AM331" i="20"/>
  <c r="AI331" i="20"/>
  <c r="AP311" i="20"/>
  <c r="AF311" i="20"/>
  <c r="AM299" i="20"/>
  <c r="AK299" i="20"/>
  <c r="AD287" i="20"/>
  <c r="AM287" i="20"/>
  <c r="AF287" i="20"/>
  <c r="AJ275" i="20"/>
  <c r="AI275" i="20"/>
  <c r="AP247" i="20"/>
  <c r="AJ247" i="20"/>
  <c r="AP211" i="20"/>
  <c r="AR211" i="20"/>
  <c r="AD267" i="20"/>
  <c r="AQ142" i="20"/>
  <c r="AN223" i="20"/>
  <c r="AL146" i="20"/>
  <c r="AS299" i="20"/>
  <c r="AO283" i="20"/>
  <c r="AI142" i="20"/>
  <c r="AI410" i="20"/>
  <c r="AJ410" i="20"/>
  <c r="AP339" i="20"/>
  <c r="AQ339" i="20"/>
  <c r="AS339" i="20"/>
  <c r="AI335" i="20"/>
  <c r="AN335" i="20"/>
  <c r="AS335" i="20"/>
  <c r="AD319" i="20"/>
  <c r="AK319" i="20"/>
  <c r="AD315" i="20"/>
  <c r="AQ315" i="20"/>
  <c r="AP307" i="20"/>
  <c r="AD307" i="20"/>
  <c r="AO303" i="20"/>
  <c r="AJ303" i="20"/>
  <c r="AI295" i="20"/>
  <c r="AN295" i="20"/>
  <c r="AQ295" i="20"/>
  <c r="AJ291" i="20"/>
  <c r="AN291" i="20"/>
  <c r="AM283" i="20"/>
  <c r="AS279" i="20"/>
  <c r="AO279" i="20"/>
  <c r="AR271" i="20"/>
  <c r="AL271" i="20"/>
  <c r="AN267" i="20"/>
  <c r="AN255" i="20"/>
  <c r="AS255" i="20"/>
  <c r="AN251" i="20"/>
  <c r="AF251" i="20"/>
  <c r="AM243" i="20"/>
  <c r="AR243" i="20"/>
  <c r="AK243" i="20"/>
  <c r="AR239" i="20"/>
  <c r="AJ239" i="20"/>
  <c r="AM239" i="20"/>
  <c r="AN235" i="20"/>
  <c r="AQ235" i="20"/>
  <c r="AK231" i="20"/>
  <c r="AJ231" i="20"/>
  <c r="AO227" i="20"/>
  <c r="AR227" i="20"/>
  <c r="AI223" i="20"/>
  <c r="AQ223" i="20"/>
  <c r="AO219" i="20"/>
  <c r="AP219" i="20"/>
  <c r="AQ219" i="20"/>
  <c r="AI215" i="20"/>
  <c r="AF215" i="20"/>
  <c r="AI207" i="20"/>
  <c r="AF207" i="20"/>
  <c r="AM203" i="20"/>
  <c r="AS203" i="20"/>
  <c r="AL199" i="20"/>
  <c r="AO199" i="20"/>
  <c r="AM195" i="20"/>
  <c r="AO195" i="20"/>
  <c r="AJ191" i="20"/>
  <c r="AI191" i="20"/>
  <c r="AK187" i="20"/>
  <c r="AL187" i="20"/>
  <c r="AJ183" i="20"/>
  <c r="AN183" i="20"/>
  <c r="AD183" i="20"/>
  <c r="AJ179" i="20"/>
  <c r="AF179" i="20"/>
  <c r="AJ175" i="20"/>
  <c r="AF175" i="20"/>
  <c r="AP170" i="20"/>
  <c r="AL170" i="20"/>
  <c r="AD166" i="20"/>
  <c r="AI166" i="20"/>
  <c r="AD162" i="20"/>
  <c r="AP162" i="20"/>
  <c r="AP158" i="20"/>
  <c r="AD158" i="20"/>
  <c r="AK154" i="20"/>
  <c r="AQ150" i="20"/>
  <c r="AS150" i="20"/>
  <c r="AP146" i="20"/>
  <c r="AS146" i="20"/>
  <c r="AN142" i="20"/>
  <c r="AM142" i="20"/>
  <c r="AR138" i="20"/>
  <c r="AP134" i="20"/>
  <c r="AS134" i="20"/>
  <c r="AR130" i="20"/>
  <c r="AS130" i="20"/>
  <c r="AF130" i="20"/>
  <c r="AJ122" i="20"/>
  <c r="AK122" i="20"/>
  <c r="AK114" i="20"/>
  <c r="AF114" i="20"/>
  <c r="AD96" i="20"/>
  <c r="AP96" i="20"/>
  <c r="AD98" i="20"/>
  <c r="AJ112" i="20"/>
  <c r="AR299" i="20"/>
  <c r="AO271" i="20"/>
  <c r="AM267" i="20"/>
  <c r="AS211" i="20"/>
  <c r="AN311" i="20"/>
  <c r="AP130" i="20"/>
  <c r="AN170" i="20"/>
  <c r="AS215" i="20"/>
  <c r="AI315" i="20"/>
  <c r="AF283" i="20"/>
  <c r="AS138" i="20"/>
  <c r="AR307" i="20"/>
  <c r="AI96" i="20"/>
  <c r="AS275" i="20"/>
  <c r="AF166" i="20"/>
  <c r="AR175" i="20"/>
  <c r="AJ279" i="20"/>
  <c r="AM279" i="20"/>
  <c r="AN283" i="20"/>
  <c r="AL283" i="20"/>
  <c r="AS319" i="20"/>
  <c r="AI122" i="20"/>
  <c r="AL158" i="20"/>
  <c r="AN179" i="20"/>
  <c r="AN207" i="20"/>
  <c r="AP227" i="20"/>
  <c r="AP335" i="20"/>
  <c r="AP275" i="20"/>
  <c r="AI573" i="20"/>
  <c r="AN557" i="20"/>
  <c r="AI545" i="20"/>
  <c r="AI505" i="20"/>
  <c r="AI425" i="20"/>
  <c r="AK412" i="20"/>
  <c r="AI317" i="20"/>
  <c r="AK285" i="20"/>
  <c r="AI277" i="20"/>
  <c r="AK269" i="20"/>
  <c r="AJ241" i="20"/>
  <c r="AI229" i="20"/>
  <c r="AN132" i="20"/>
  <c r="AP128" i="20"/>
  <c r="AI305" i="20"/>
  <c r="AQ233" i="20"/>
  <c r="AI415" i="20"/>
  <c r="AI403" i="20"/>
  <c r="AD376" i="20"/>
  <c r="AL368" i="20"/>
  <c r="AJ502" i="20"/>
  <c r="AN470" i="20"/>
  <c r="AQ466" i="20"/>
  <c r="AP462" i="20"/>
  <c r="AD458" i="20"/>
  <c r="AK458" i="20"/>
  <c r="AD454" i="20"/>
  <c r="AL450" i="20"/>
  <c r="AJ446" i="20"/>
  <c r="AM446" i="20"/>
  <c r="AR442" i="20"/>
  <c r="AO438" i="20"/>
  <c r="AS117" i="20"/>
  <c r="AQ74" i="20"/>
  <c r="AI454" i="20"/>
  <c r="AN524" i="20"/>
  <c r="AQ496" i="20"/>
  <c r="AL385" i="20"/>
  <c r="AD371" i="20"/>
  <c r="AP272" i="20"/>
  <c r="AR260" i="20"/>
  <c r="AI228" i="20"/>
  <c r="AJ350" i="20"/>
  <c r="AD514" i="20"/>
  <c r="AQ388" i="20"/>
  <c r="AF388" i="20"/>
  <c r="AL381" i="20"/>
  <c r="AS381" i="20"/>
  <c r="AM373" i="20"/>
  <c r="AJ373" i="20"/>
  <c r="AI369" i="20"/>
  <c r="AD369" i="20"/>
  <c r="AD365" i="20"/>
  <c r="AL365" i="20"/>
  <c r="AQ365" i="20"/>
  <c r="AP361" i="20"/>
  <c r="AQ361" i="20"/>
  <c r="AJ246" i="20"/>
  <c r="AL246" i="20"/>
  <c r="AO246" i="20"/>
  <c r="AJ238" i="20"/>
  <c r="AF238" i="20"/>
  <c r="AQ230" i="20"/>
  <c r="AD230" i="20"/>
  <c r="AP222" i="20"/>
  <c r="AN222" i="20"/>
  <c r="AJ214" i="20"/>
  <c r="AP214" i="20"/>
  <c r="AJ206" i="20"/>
  <c r="AO206" i="20"/>
  <c r="AN198" i="20"/>
  <c r="AD198" i="20"/>
  <c r="AI190" i="20"/>
  <c r="AO190" i="20"/>
  <c r="AN182" i="20"/>
  <c r="AD174" i="20"/>
  <c r="AK174" i="20"/>
  <c r="AI169" i="20"/>
  <c r="AR153" i="20"/>
  <c r="AD145" i="20"/>
  <c r="AN137" i="20"/>
  <c r="AI133" i="20"/>
  <c r="AR133" i="20"/>
  <c r="AN125" i="20"/>
  <c r="AD113" i="20"/>
  <c r="AN113" i="20"/>
  <c r="AP107" i="20"/>
  <c r="AS107" i="20"/>
  <c r="AQ95" i="20"/>
  <c r="AL109" i="20"/>
  <c r="AS79" i="20"/>
  <c r="AM71" i="20"/>
  <c r="AP71" i="20"/>
  <c r="AM72" i="20"/>
  <c r="AR72" i="20"/>
  <c r="AJ72" i="20"/>
  <c r="AF109" i="20"/>
  <c r="AS92" i="20"/>
  <c r="AJ76" i="20"/>
  <c r="AS186" i="20"/>
  <c r="AQ79" i="20"/>
  <c r="AS161" i="20"/>
  <c r="AS388" i="20"/>
  <c r="AK125" i="20"/>
  <c r="AN174" i="20"/>
  <c r="AQ534" i="20"/>
  <c r="AQ526" i="20"/>
  <c r="AI518" i="20"/>
  <c r="AS518" i="20"/>
  <c r="AO510" i="20"/>
  <c r="AR510" i="20"/>
  <c r="AN434" i="20"/>
  <c r="AJ377" i="20"/>
  <c r="AP377" i="20"/>
  <c r="AQ377" i="20"/>
  <c r="AF290" i="20"/>
  <c r="AK250" i="20"/>
  <c r="AD242" i="20"/>
  <c r="AP234" i="20"/>
  <c r="AK226" i="20"/>
  <c r="AN226" i="20"/>
  <c r="AL226" i="20"/>
  <c r="AD218" i="20"/>
  <c r="AJ218" i="20"/>
  <c r="AN210" i="20"/>
  <c r="AM210" i="20"/>
  <c r="AL202" i="20"/>
  <c r="AO202" i="20"/>
  <c r="AK194" i="20"/>
  <c r="AQ194" i="20"/>
  <c r="AK186" i="20"/>
  <c r="AD178" i="20"/>
  <c r="AI165" i="20"/>
  <c r="AJ165" i="20"/>
  <c r="AS157" i="20"/>
  <c r="AP149" i="20"/>
  <c r="AJ149" i="20"/>
  <c r="AD141" i="20"/>
  <c r="AP129" i="20"/>
  <c r="AM129" i="20"/>
  <c r="AP121" i="20"/>
  <c r="AN121" i="20"/>
  <c r="AJ117" i="20"/>
  <c r="AR117" i="20"/>
  <c r="AM101" i="20"/>
  <c r="AK88" i="20"/>
  <c r="AN83" i="20"/>
  <c r="AF83" i="20"/>
  <c r="AD383" i="20"/>
  <c r="AF383" i="20"/>
  <c r="AF111" i="20"/>
  <c r="AJ75" i="20"/>
  <c r="AN74" i="20"/>
  <c r="AI74" i="20"/>
  <c r="AP73" i="20"/>
  <c r="AL77" i="20"/>
  <c r="AF129" i="20"/>
  <c r="AF133" i="20"/>
  <c r="AF80" i="20"/>
  <c r="AF113" i="20"/>
  <c r="AO194" i="20"/>
  <c r="AO198" i="20"/>
  <c r="AR80" i="20"/>
  <c r="AI88" i="20"/>
  <c r="AF381" i="20"/>
  <c r="AF550" i="20"/>
  <c r="AK76" i="20"/>
  <c r="AS222" i="20"/>
  <c r="AR75" i="20"/>
  <c r="AJ79" i="20"/>
  <c r="AS558" i="20"/>
  <c r="AK165" i="20"/>
  <c r="AM92" i="20"/>
  <c r="AI71" i="20"/>
  <c r="AR234" i="20"/>
  <c r="AK510" i="20"/>
  <c r="AL113" i="20"/>
  <c r="AM234" i="20"/>
  <c r="AO383" i="20"/>
  <c r="AM242" i="20"/>
  <c r="AS97" i="20"/>
  <c r="AF137" i="20"/>
  <c r="AQ117" i="20"/>
  <c r="AF206" i="20"/>
  <c r="AD80" i="20"/>
  <c r="AF218" i="20"/>
  <c r="AK111" i="20"/>
  <c r="AL76" i="20"/>
  <c r="AF369" i="20"/>
  <c r="AS174" i="20"/>
  <c r="AD75" i="20"/>
  <c r="AR101" i="20"/>
  <c r="AQ369" i="20"/>
  <c r="AR145" i="20"/>
  <c r="AN161" i="20"/>
  <c r="AS369" i="20"/>
  <c r="AS334" i="20"/>
  <c r="AR71" i="20"/>
  <c r="AL526" i="20"/>
  <c r="AM238" i="20"/>
  <c r="AE119" i="20"/>
  <c r="AE482" i="20"/>
  <c r="AL488" i="20"/>
  <c r="AE470" i="20"/>
  <c r="AH455" i="20"/>
  <c r="AH422" i="20"/>
  <c r="AH402" i="20"/>
  <c r="AH378" i="20"/>
  <c r="AH338" i="20"/>
  <c r="AN562" i="20"/>
  <c r="AO450" i="20"/>
  <c r="AH250" i="20"/>
  <c r="AS519" i="20"/>
  <c r="AM463" i="20"/>
  <c r="AQ419" i="20"/>
  <c r="AO360" i="20"/>
  <c r="AF304" i="20"/>
  <c r="AF240" i="20"/>
  <c r="AO114" i="20"/>
  <c r="AE56" i="20"/>
  <c r="AE64" i="20"/>
  <c r="AE81" i="20"/>
  <c r="AE95" i="20"/>
  <c r="AE111" i="20"/>
  <c r="AE120" i="20"/>
  <c r="AE130" i="20"/>
  <c r="AE141" i="20"/>
  <c r="AE155" i="20"/>
  <c r="AE164" i="20"/>
  <c r="AE177" i="20"/>
  <c r="AE188" i="20"/>
  <c r="AE198" i="20"/>
  <c r="AE210" i="20"/>
  <c r="AE220" i="20"/>
  <c r="AE226" i="20"/>
  <c r="AE241" i="20"/>
  <c r="AE250" i="20"/>
  <c r="AE261" i="20"/>
  <c r="AE275" i="20"/>
  <c r="AE287" i="20"/>
  <c r="AE299" i="20"/>
  <c r="AE311" i="20"/>
  <c r="AE328" i="20"/>
  <c r="AE362" i="20"/>
  <c r="AE394" i="20"/>
  <c r="AE416" i="20"/>
  <c r="AE434" i="20"/>
  <c r="AE453" i="20"/>
  <c r="AE499" i="20"/>
  <c r="AE553" i="20"/>
  <c r="AH452" i="20"/>
  <c r="AH449" i="20"/>
  <c r="AH435" i="20"/>
  <c r="AH432" i="20"/>
  <c r="AP47" i="20"/>
  <c r="AH49" i="20"/>
  <c r="AO49" i="20"/>
  <c r="AE48" i="20"/>
  <c r="AJ48" i="20"/>
  <c r="AN48" i="20"/>
  <c r="AR48" i="20"/>
  <c r="AH55" i="20"/>
  <c r="AH79" i="20"/>
  <c r="AH95" i="20"/>
  <c r="AH111" i="20"/>
  <c r="AH127" i="20"/>
  <c r="AH152" i="20"/>
  <c r="AH168" i="20"/>
  <c r="AH185" i="20"/>
  <c r="AH215" i="20"/>
  <c r="AH221" i="20"/>
  <c r="AH265" i="20"/>
  <c r="AH279" i="20"/>
  <c r="AH285" i="20"/>
  <c r="AH329" i="20"/>
  <c r="AH339" i="20"/>
  <c r="AH379" i="20"/>
  <c r="AH393" i="20"/>
  <c r="AH403" i="20"/>
  <c r="AI49" i="20"/>
  <c r="AP49" i="20"/>
  <c r="AF48" i="20"/>
  <c r="AK48" i="20"/>
  <c r="AO48" i="20"/>
  <c r="AH53" i="20"/>
  <c r="AH59" i="20"/>
  <c r="AH136" i="20"/>
  <c r="AH150" i="20"/>
  <c r="AH156" i="20"/>
  <c r="AH166" i="20"/>
  <c r="AH173" i="20"/>
  <c r="AH183" i="20"/>
  <c r="AH189" i="20"/>
  <c r="AH209" i="20"/>
  <c r="AH225" i="20"/>
  <c r="AH249" i="20"/>
  <c r="AH273" i="20"/>
  <c r="AH289" i="20"/>
  <c r="AH313" i="20"/>
  <c r="AH363" i="20"/>
  <c r="AH377" i="20"/>
  <c r="AH387" i="20"/>
  <c r="AH427" i="20"/>
  <c r="AH441" i="20"/>
  <c r="AE47" i="20"/>
  <c r="AD49" i="20"/>
  <c r="AM49" i="20"/>
  <c r="AD48" i="20"/>
  <c r="AI48" i="20"/>
  <c r="AM48" i="20"/>
  <c r="AQ48" i="20"/>
  <c r="AH71" i="20"/>
  <c r="AH85" i="20"/>
  <c r="AH91" i="20"/>
  <c r="AH101" i="20"/>
  <c r="AH107" i="20"/>
  <c r="AH117" i="20"/>
  <c r="AH123" i="20"/>
  <c r="AH201" i="20"/>
  <c r="AH217" i="20"/>
  <c r="AH241" i="20"/>
  <c r="AH257" i="20"/>
  <c r="AH281" i="20"/>
  <c r="AH305" i="20"/>
  <c r="AH321" i="20"/>
  <c r="AH331" i="20"/>
  <c r="AH345" i="20"/>
  <c r="AH355" i="20"/>
  <c r="AH395" i="20"/>
  <c r="AH409" i="20"/>
  <c r="AH419" i="20"/>
  <c r="AL48" i="20"/>
  <c r="AH87" i="20"/>
  <c r="AH160" i="20"/>
  <c r="AH233" i="20"/>
  <c r="AH347" i="20"/>
  <c r="AH462" i="20"/>
  <c r="AH486" i="20"/>
  <c r="AH493" i="20"/>
  <c r="AH503" i="20"/>
  <c r="AH543" i="20"/>
  <c r="AH557" i="20"/>
  <c r="AH567" i="20"/>
  <c r="AE569" i="20"/>
  <c r="AE551" i="20"/>
  <c r="AE537" i="20"/>
  <c r="AE527" i="20"/>
  <c r="AE513" i="20"/>
  <c r="AE501" i="20"/>
  <c r="AE489" i="20"/>
  <c r="AE477" i="20"/>
  <c r="AE468" i="20"/>
  <c r="AE451" i="20"/>
  <c r="AE457" i="20"/>
  <c r="AE463" i="20"/>
  <c r="AE442" i="20"/>
  <c r="AE440" i="20"/>
  <c r="AE433" i="20"/>
  <c r="AE426" i="20"/>
  <c r="AE418" i="20"/>
  <c r="AE415" i="20"/>
  <c r="AE412" i="20"/>
  <c r="AE402" i="20"/>
  <c r="AE387" i="20"/>
  <c r="AE393" i="20"/>
  <c r="AE386" i="20"/>
  <c r="AE379" i="20"/>
  <c r="AE371" i="20"/>
  <c r="AE361" i="20"/>
  <c r="AE357" i="20"/>
  <c r="AE352" i="20"/>
  <c r="AE344" i="20"/>
  <c r="AE341" i="20"/>
  <c r="AE335" i="20"/>
  <c r="AE321" i="20"/>
  <c r="AE316" i="20"/>
  <c r="AE313" i="20"/>
  <c r="AE306" i="20"/>
  <c r="AE300" i="20"/>
  <c r="AH48" i="20"/>
  <c r="AH63" i="20"/>
  <c r="AH144" i="20"/>
  <c r="AH247" i="20"/>
  <c r="AH297" i="20"/>
  <c r="AH361" i="20"/>
  <c r="AH411" i="20"/>
  <c r="AH450" i="20"/>
  <c r="AH468" i="20"/>
  <c r="AH474" i="20"/>
  <c r="AH495" i="20"/>
  <c r="AH509" i="20"/>
  <c r="AH519" i="20"/>
  <c r="AH559" i="20"/>
  <c r="AH573" i="20"/>
  <c r="AE567" i="20"/>
  <c r="AE559" i="20"/>
  <c r="AE535" i="20"/>
  <c r="AE531" i="20"/>
  <c r="AE518" i="20"/>
  <c r="AE503" i="20"/>
  <c r="AE495" i="20"/>
  <c r="AE476" i="20"/>
  <c r="AE475" i="20"/>
  <c r="AE450" i="20"/>
  <c r="AE455" i="20"/>
  <c r="AE462" i="20"/>
  <c r="AE467" i="20"/>
  <c r="AE447" i="20"/>
  <c r="AE432" i="20"/>
  <c r="AE425" i="20"/>
  <c r="AE430" i="20"/>
  <c r="AE421" i="20"/>
  <c r="AE411" i="20"/>
  <c r="AE400" i="20"/>
  <c r="AE397" i="20"/>
  <c r="AE392" i="20"/>
  <c r="AE396" i="20"/>
  <c r="AE378" i="20"/>
  <c r="AE368" i="20"/>
  <c r="AE363" i="20"/>
  <c r="AE359" i="20"/>
  <c r="AE354" i="20"/>
  <c r="AE342" i="20"/>
  <c r="AE339" i="20"/>
  <c r="AE333" i="20"/>
  <c r="AE326" i="20"/>
  <c r="AE319" i="20"/>
  <c r="AE314" i="20"/>
  <c r="AE308" i="20"/>
  <c r="AE305" i="20"/>
  <c r="AH130" i="20"/>
  <c r="AH193" i="20"/>
  <c r="AH317" i="20"/>
  <c r="AH454" i="20"/>
  <c r="AH460" i="20"/>
  <c r="AH525" i="20"/>
  <c r="AH535" i="20"/>
  <c r="AE563" i="20"/>
  <c r="AE543" i="20"/>
  <c r="AE511" i="20"/>
  <c r="AE484" i="20"/>
  <c r="AE469" i="20"/>
  <c r="AE459" i="20"/>
  <c r="AE443" i="20"/>
  <c r="AE422" i="20"/>
  <c r="AE419" i="20"/>
  <c r="AE408" i="20"/>
  <c r="AE388" i="20"/>
  <c r="AE384" i="20"/>
  <c r="AE366" i="20"/>
  <c r="AE355" i="20"/>
  <c r="AE346" i="20"/>
  <c r="AE336" i="20"/>
  <c r="AE317" i="20"/>
  <c r="AE307" i="20"/>
  <c r="AE296" i="20"/>
  <c r="AE293" i="20"/>
  <c r="AE285" i="20"/>
  <c r="AE282" i="20"/>
  <c r="AE273" i="20"/>
  <c r="AE271" i="20"/>
  <c r="AE258" i="20"/>
  <c r="AE264" i="20"/>
  <c r="AE253" i="20"/>
  <c r="AE247" i="20"/>
  <c r="AE242" i="20"/>
  <c r="AE234" i="20"/>
  <c r="AE230" i="20"/>
  <c r="AE228" i="20"/>
  <c r="AE221" i="20"/>
  <c r="AE215" i="20"/>
  <c r="AE212" i="20"/>
  <c r="AE205" i="20"/>
  <c r="AE202" i="20"/>
  <c r="AE196" i="20"/>
  <c r="AE190" i="20"/>
  <c r="AE185" i="20"/>
  <c r="AE179" i="20"/>
  <c r="AE175" i="20"/>
  <c r="AE166" i="20"/>
  <c r="AE161" i="20"/>
  <c r="AE158" i="20"/>
  <c r="AE150" i="20"/>
  <c r="AE144" i="20"/>
  <c r="AE138" i="20"/>
  <c r="AE132" i="20"/>
  <c r="AE127" i="20"/>
  <c r="AE121" i="20"/>
  <c r="AE116" i="20"/>
  <c r="AE107" i="20"/>
  <c r="AE103" i="20"/>
  <c r="AE97" i="20"/>
  <c r="AE89" i="20"/>
  <c r="AE85" i="20"/>
  <c r="AE76" i="20"/>
  <c r="AE68" i="20"/>
  <c r="AE67" i="20"/>
  <c r="AE59" i="20"/>
  <c r="AE51" i="20"/>
  <c r="AO73" i="20"/>
  <c r="AO71" i="20"/>
  <c r="AO96" i="20"/>
  <c r="AO146" i="20"/>
  <c r="AR224" i="20"/>
  <c r="AQ252" i="20"/>
  <c r="AD280" i="20"/>
  <c r="AR328" i="20"/>
  <c r="AI356" i="20"/>
  <c r="AR376" i="20"/>
  <c r="AD403" i="20"/>
  <c r="AD431" i="20"/>
  <c r="AQ455" i="20"/>
  <c r="AO479" i="20"/>
  <c r="AF503" i="20"/>
  <c r="AQ539" i="20"/>
  <c r="AN563" i="20"/>
  <c r="AK52" i="20"/>
  <c r="AP52" i="20"/>
  <c r="AD52" i="20"/>
  <c r="AF55" i="20"/>
  <c r="AJ55" i="20"/>
  <c r="AP55" i="20"/>
  <c r="AQ55" i="20"/>
  <c r="AO150" i="20"/>
  <c r="AO125" i="20"/>
  <c r="AO82" i="20"/>
  <c r="AO53" i="20"/>
  <c r="AJ53" i="20"/>
  <c r="AM53" i="20"/>
  <c r="AP56" i="20"/>
  <c r="AQ56" i="20"/>
  <c r="AF56" i="20"/>
  <c r="AO65" i="20"/>
  <c r="AS529" i="20"/>
  <c r="AJ441" i="20"/>
  <c r="AM417" i="20"/>
  <c r="AK362" i="20"/>
  <c r="AQ165" i="20"/>
  <c r="AO140" i="20"/>
  <c r="AO124" i="20"/>
  <c r="AO100" i="20"/>
  <c r="AO66" i="20"/>
  <c r="AO127" i="20"/>
  <c r="AO84" i="20"/>
  <c r="AO58" i="20"/>
  <c r="AO51" i="20"/>
  <c r="AO69" i="20"/>
  <c r="AF145" i="20"/>
  <c r="AS101" i="20"/>
  <c r="AK90" i="20"/>
  <c r="AO139" i="20"/>
  <c r="AO123" i="20"/>
  <c r="AO99" i="20"/>
  <c r="AO97" i="20"/>
  <c r="AQ57" i="20"/>
  <c r="AL57" i="20"/>
  <c r="AL58" i="20"/>
  <c r="AK51" i="20"/>
  <c r="AL51" i="20"/>
  <c r="AJ51" i="20"/>
  <c r="AF59" i="20"/>
  <c r="AQ59" i="20"/>
  <c r="AK60" i="20"/>
  <c r="AN59" i="20"/>
  <c r="AL60" i="20"/>
  <c r="AI60" i="20"/>
  <c r="AD61" i="20"/>
  <c r="AN61" i="20"/>
  <c r="AP61" i="20"/>
  <c r="AF160" i="20"/>
  <c r="AF157" i="20"/>
  <c r="AQ463" i="20"/>
  <c r="AK567" i="20"/>
  <c r="AR475" i="20"/>
  <c r="AL455" i="20"/>
  <c r="AS395" i="20"/>
  <c r="AM196" i="20"/>
  <c r="AL549" i="20"/>
  <c r="AF521" i="20"/>
  <c r="AF501" i="20"/>
  <c r="AK457" i="20"/>
  <c r="AP48" i="20"/>
  <c r="AH177" i="20"/>
  <c r="AH371" i="20"/>
  <c r="AH470" i="20"/>
  <c r="AH527" i="20"/>
  <c r="AH541" i="20"/>
  <c r="AE566" i="20"/>
  <c r="AE545" i="20"/>
  <c r="AE519" i="20"/>
  <c r="AE497" i="20"/>
  <c r="AE481" i="20"/>
  <c r="AE454" i="20"/>
  <c r="AE466" i="20"/>
  <c r="AE435" i="20"/>
  <c r="AE429" i="20"/>
  <c r="AE413" i="20"/>
  <c r="AE404" i="20"/>
  <c r="AE395" i="20"/>
  <c r="AE367" i="20"/>
  <c r="AE360" i="20"/>
  <c r="AE351" i="20"/>
  <c r="AE331" i="20"/>
  <c r="AE318" i="20"/>
  <c r="AE310" i="20"/>
  <c r="AE302" i="20"/>
  <c r="AE294" i="20"/>
  <c r="AE289" i="20"/>
  <c r="AE284" i="20"/>
  <c r="AE279" i="20"/>
  <c r="AE276" i="20"/>
  <c r="AE257" i="20"/>
  <c r="AE262" i="20"/>
  <c r="AE255" i="20"/>
  <c r="AE249" i="20"/>
  <c r="AE244" i="20"/>
  <c r="AE238" i="20"/>
  <c r="AE232" i="20"/>
  <c r="AE227" i="20"/>
  <c r="AE222" i="20"/>
  <c r="AE214" i="20"/>
  <c r="AE211" i="20"/>
  <c r="AE209" i="20"/>
  <c r="AE204" i="20"/>
  <c r="AE195" i="20"/>
  <c r="AE194" i="20"/>
  <c r="AE187" i="20"/>
  <c r="AE180" i="20"/>
  <c r="AE174" i="20"/>
  <c r="AE168" i="20"/>
  <c r="AE162" i="20"/>
  <c r="AE157" i="20"/>
  <c r="AE149" i="20"/>
  <c r="AE145" i="20"/>
  <c r="AE140" i="20"/>
  <c r="AE133" i="20"/>
  <c r="AE128" i="20"/>
  <c r="AE122" i="20"/>
  <c r="AE117" i="20"/>
  <c r="AE106" i="20"/>
  <c r="AE112" i="20"/>
  <c r="AE99" i="20"/>
  <c r="AE92" i="20"/>
  <c r="AE84" i="20"/>
  <c r="AE79" i="20"/>
  <c r="AE73" i="20"/>
  <c r="AE66" i="20"/>
  <c r="AE58" i="20"/>
  <c r="AE57" i="20"/>
  <c r="AO79" i="20"/>
  <c r="AO92" i="20"/>
  <c r="AO138" i="20"/>
  <c r="AM220" i="20"/>
  <c r="AR248" i="20"/>
  <c r="AF268" i="20"/>
  <c r="AQ324" i="20"/>
  <c r="AS352" i="20"/>
  <c r="AN372" i="20"/>
  <c r="AQ399" i="20"/>
  <c r="AR427" i="20"/>
  <c r="AR447" i="20"/>
  <c r="AS471" i="20"/>
  <c r="AS499" i="20"/>
  <c r="AL535" i="20"/>
  <c r="AD559" i="20"/>
  <c r="AS543" i="20"/>
  <c r="AN483" i="20"/>
  <c r="AQ435" i="20"/>
  <c r="AQ386" i="20"/>
  <c r="AQ336" i="20"/>
  <c r="AQ256" i="20"/>
  <c r="AO155" i="20"/>
  <c r="AO108" i="20"/>
  <c r="AO111" i="20"/>
  <c r="AO109" i="20"/>
  <c r="AO80" i="20"/>
  <c r="AO76" i="20"/>
  <c r="AE53" i="20"/>
  <c r="AE61" i="20"/>
  <c r="AE72" i="20"/>
  <c r="AE87" i="20"/>
  <c r="AE101" i="20"/>
  <c r="AE105" i="20"/>
  <c r="AE124" i="20"/>
  <c r="AE136" i="20"/>
  <c r="AE146" i="20"/>
  <c r="AE156" i="20"/>
  <c r="AE170" i="20"/>
  <c r="AE183" i="20"/>
  <c r="AE193" i="20"/>
  <c r="AE203" i="20"/>
  <c r="AE217" i="20"/>
  <c r="AE223" i="20"/>
  <c r="AE233" i="20"/>
  <c r="AE246" i="20"/>
  <c r="AE254" i="20"/>
  <c r="AE267" i="20"/>
  <c r="AE278" i="20"/>
  <c r="AE290" i="20"/>
  <c r="AE301" i="20"/>
  <c r="AE322" i="20"/>
  <c r="AE350" i="20"/>
  <c r="AE373" i="20"/>
  <c r="AE403" i="20"/>
  <c r="AE427" i="20"/>
  <c r="AE465" i="20"/>
  <c r="AE479" i="20"/>
  <c r="AE526" i="20"/>
  <c r="AE510" i="20"/>
  <c r="AH551" i="20"/>
  <c r="AE509" i="20"/>
  <c r="AH505" i="20"/>
  <c r="AH501" i="20"/>
  <c r="AH497" i="20"/>
  <c r="AH485" i="20"/>
  <c r="AH482" i="20"/>
  <c r="AH479" i="20"/>
  <c r="AH476" i="20"/>
  <c r="AH473" i="20"/>
  <c r="AH461" i="20"/>
  <c r="AH311" i="20"/>
  <c r="AH308" i="20"/>
  <c r="AH284" i="20"/>
  <c r="AH264" i="20"/>
  <c r="AK49" i="20"/>
  <c r="AE552" i="20"/>
  <c r="AP549" i="20"/>
  <c r="AH545" i="20"/>
  <c r="AM538" i="20"/>
  <c r="AE525" i="20"/>
  <c r="AH521" i="20"/>
  <c r="AE474" i="20"/>
  <c r="AH467" i="20"/>
  <c r="AH463" i="20"/>
  <c r="AH368" i="20"/>
  <c r="AH223" i="20"/>
  <c r="AE207" i="20"/>
  <c r="AH181" i="20"/>
  <c r="AH174" i="20"/>
  <c r="AE573" i="20"/>
  <c r="AH569" i="20"/>
  <c r="AH565" i="20"/>
  <c r="AH561" i="20"/>
  <c r="AO528" i="20"/>
  <c r="AS514" i="20"/>
  <c r="AH487" i="20"/>
  <c r="AE458" i="20"/>
  <c r="AE452" i="20"/>
  <c r="AE345" i="20"/>
  <c r="AH341" i="20"/>
  <c r="AH314" i="20"/>
  <c r="AH220" i="20"/>
  <c r="AH197" i="20"/>
  <c r="AH190" i="20"/>
  <c r="AH170" i="20"/>
  <c r="AH51" i="20"/>
  <c r="AR570" i="20"/>
  <c r="AH563" i="20"/>
  <c r="AH553" i="20"/>
  <c r="AQ546" i="20"/>
  <c r="AH529" i="20"/>
  <c r="AD523" i="20"/>
  <c r="AH499" i="20"/>
  <c r="AH489" i="20"/>
  <c r="AE486" i="20"/>
  <c r="AH483" i="20"/>
  <c r="AL480" i="20"/>
  <c r="AH477" i="20"/>
  <c r="AH471" i="20"/>
  <c r="AH465" i="20"/>
  <c r="AH459" i="20"/>
  <c r="AH453" i="20"/>
  <c r="AH447" i="20"/>
  <c r="AO444" i="20"/>
  <c r="AE441" i="20"/>
  <c r="AH415" i="20"/>
  <c r="AH392" i="20"/>
  <c r="AH388" i="20"/>
  <c r="AH294" i="20"/>
  <c r="AH290" i="20"/>
  <c r="AH278" i="20"/>
  <c r="AH274" i="20"/>
  <c r="AH244" i="20"/>
  <c r="AH187" i="20"/>
  <c r="AI167" i="20"/>
  <c r="AH141" i="20"/>
  <c r="AH137" i="20"/>
  <c r="AK94" i="20"/>
  <c r="AH67" i="20"/>
  <c r="AH60" i="20"/>
  <c r="AN554" i="20"/>
  <c r="AE541" i="20"/>
  <c r="AH537" i="20"/>
  <c r="AR530" i="20"/>
  <c r="AH513" i="20"/>
  <c r="AH481" i="20"/>
  <c r="AE478" i="20"/>
  <c r="AH475" i="20"/>
  <c r="AH469" i="20"/>
  <c r="AE460" i="20"/>
  <c r="AH457" i="20"/>
  <c r="AH451" i="20"/>
  <c r="AH445" i="20"/>
  <c r="AH442" i="20"/>
  <c r="AH405" i="20"/>
  <c r="AH381" i="20"/>
  <c r="AH351" i="20"/>
  <c r="AH328" i="20"/>
  <c r="AH287" i="20"/>
  <c r="AH271" i="20"/>
  <c r="AH267" i="20"/>
  <c r="AH230" i="20"/>
  <c r="AH226" i="20"/>
  <c r="AH214" i="20"/>
  <c r="AH210" i="20"/>
  <c r="AS184" i="20"/>
  <c r="AH164" i="20"/>
  <c r="AH157" i="20"/>
  <c r="AD110" i="20"/>
  <c r="AH57" i="20"/>
  <c r="AH440" i="20"/>
  <c r="AH433" i="20"/>
  <c r="AH429" i="20"/>
  <c r="AH426" i="20"/>
  <c r="AH416" i="20"/>
  <c r="AH389" i="20"/>
  <c r="AH386" i="20"/>
  <c r="AH376" i="20"/>
  <c r="AH365" i="20"/>
  <c r="AH362" i="20"/>
  <c r="AH359" i="20"/>
  <c r="AH352" i="20"/>
  <c r="AH342" i="20"/>
  <c r="AH335" i="20"/>
  <c r="AE329" i="20"/>
  <c r="AH325" i="20"/>
  <c r="AH318" i="20"/>
  <c r="AH315" i="20"/>
  <c r="AE309" i="20"/>
  <c r="AH302" i="20"/>
  <c r="AH298" i="20"/>
  <c r="AH275" i="20"/>
  <c r="AH272" i="20"/>
  <c r="AH261" i="20"/>
  <c r="AH254" i="20"/>
  <c r="AH251" i="20"/>
  <c r="AH245" i="20"/>
  <c r="AH238" i="20"/>
  <c r="AH234" i="20"/>
  <c r="AH211" i="20"/>
  <c r="AH208" i="20"/>
  <c r="AH198" i="20"/>
  <c r="AH194" i="20"/>
  <c r="AH188" i="20"/>
  <c r="AH182" i="20"/>
  <c r="AH178" i="20"/>
  <c r="AH175" i="20"/>
  <c r="AH171" i="20"/>
  <c r="AH165" i="20"/>
  <c r="AH161" i="20"/>
  <c r="AH158" i="20"/>
  <c r="AH155" i="20"/>
  <c r="AH149" i="20"/>
  <c r="AH145" i="20"/>
  <c r="AH138" i="20"/>
  <c r="AL135" i="20"/>
  <c r="AH131" i="20"/>
  <c r="AH120" i="20"/>
  <c r="AH114" i="20"/>
  <c r="AH82" i="20"/>
  <c r="AH68" i="20"/>
  <c r="AH64" i="20"/>
  <c r="AH52" i="20"/>
  <c r="AH203" i="20"/>
  <c r="AI438" i="20"/>
  <c r="AH421" i="20"/>
  <c r="AH418" i="20"/>
  <c r="AH408" i="20"/>
  <c r="AH404" i="20"/>
  <c r="AI401" i="20"/>
  <c r="AH397" i="20"/>
  <c r="AH394" i="20"/>
  <c r="AH384" i="20"/>
  <c r="AH367" i="20"/>
  <c r="AH357" i="20"/>
  <c r="AH354" i="20"/>
  <c r="AH350" i="20"/>
  <c r="AH344" i="20"/>
  <c r="AH333" i="20"/>
  <c r="AH330" i="20"/>
  <c r="AK327" i="20"/>
  <c r="AN320" i="20"/>
  <c r="AH307" i="20"/>
  <c r="AH304" i="20"/>
  <c r="AH300" i="20"/>
  <c r="AH293" i="20"/>
  <c r="AH286" i="20"/>
  <c r="AE277" i="20"/>
  <c r="AH270" i="20"/>
  <c r="AH266" i="20"/>
  <c r="AD259" i="20"/>
  <c r="AM256" i="20"/>
  <c r="AH243" i="20"/>
  <c r="AH240" i="20"/>
  <c r="AH229" i="20"/>
  <c r="AH222" i="20"/>
  <c r="AH219" i="20"/>
  <c r="AH216" i="20"/>
  <c r="AH213" i="20"/>
  <c r="AH206" i="20"/>
  <c r="AI200" i="20"/>
  <c r="AH196" i="20"/>
  <c r="AH186" i="20"/>
  <c r="AH180" i="20"/>
  <c r="AH169" i="20"/>
  <c r="AE163" i="20"/>
  <c r="AH147" i="20"/>
  <c r="AH140" i="20"/>
  <c r="AH133" i="20"/>
  <c r="AH128" i="20"/>
  <c r="AH116" i="20"/>
  <c r="AH112" i="20"/>
  <c r="AH109" i="20"/>
  <c r="AH106" i="20"/>
  <c r="AH100" i="20"/>
  <c r="AH96" i="20"/>
  <c r="AH93" i="20"/>
  <c r="AH90" i="20"/>
  <c r="AH84" i="20"/>
  <c r="AH73" i="20"/>
  <c r="AH66" i="20"/>
  <c r="AH56" i="20"/>
  <c r="AH205" i="20"/>
  <c r="AH437" i="20"/>
  <c r="AH434" i="20"/>
  <c r="AH430" i="20"/>
  <c r="AH424" i="20"/>
  <c r="AH420" i="20"/>
  <c r="AH413" i="20"/>
  <c r="AH410" i="20"/>
  <c r="AH400" i="20"/>
  <c r="AH396" i="20"/>
  <c r="AE377" i="20"/>
  <c r="AH373" i="20"/>
  <c r="AH370" i="20"/>
  <c r="AH366" i="20"/>
  <c r="AH360" i="20"/>
  <c r="AH349" i="20"/>
  <c r="AH346" i="20"/>
  <c r="AH336" i="20"/>
  <c r="AH326" i="20"/>
  <c r="AH322" i="20"/>
  <c r="AH319" i="20"/>
  <c r="AH316" i="20"/>
  <c r="AH310" i="20"/>
  <c r="AH306" i="20"/>
  <c r="AE303" i="20"/>
  <c r="AH299" i="20"/>
  <c r="AH296" i="20"/>
  <c r="AH292" i="20"/>
  <c r="AH282" i="20"/>
  <c r="AH276" i="20"/>
  <c r="AH262" i="20"/>
  <c r="AH258" i="20"/>
  <c r="AH255" i="20"/>
  <c r="AH252" i="20"/>
  <c r="AH246" i="20"/>
  <c r="AH242" i="20"/>
  <c r="AE239" i="20"/>
  <c r="AH235" i="20"/>
  <c r="AH232" i="20"/>
  <c r="AH228" i="20"/>
  <c r="AH212" i="20"/>
  <c r="AH202" i="20"/>
  <c r="AH195" i="20"/>
  <c r="AJ176" i="20"/>
  <c r="AH162" i="20"/>
  <c r="AP159" i="20"/>
  <c r="AH146" i="20"/>
  <c r="AL143" i="20"/>
  <c r="AH132" i="20"/>
  <c r="AH124" i="20"/>
  <c r="AH121" i="20"/>
  <c r="AH115" i="20"/>
  <c r="AH108" i="20"/>
  <c r="AH105" i="20"/>
  <c r="AH99" i="20"/>
  <c r="AH92" i="20"/>
  <c r="AH89" i="20"/>
  <c r="AH76" i="20"/>
  <c r="AH72" i="20"/>
  <c r="AH204" i="20"/>
  <c r="AE533" i="20"/>
  <c r="AH533" i="20"/>
  <c r="AS533" i="20"/>
  <c r="AN533" i="20"/>
  <c r="AJ533" i="20"/>
  <c r="AR533" i="20"/>
  <c r="AJ512" i="20"/>
  <c r="AS512" i="20"/>
  <c r="AE456" i="20"/>
  <c r="AH456" i="20"/>
  <c r="AH380" i="20"/>
  <c r="AE380" i="20"/>
  <c r="AP380" i="20"/>
  <c r="AR380" i="20"/>
  <c r="AF380" i="20"/>
  <c r="AL380" i="20"/>
  <c r="AK380" i="20"/>
  <c r="AH374" i="20"/>
  <c r="AM374" i="20"/>
  <c r="AE374" i="20"/>
  <c r="AJ374" i="20"/>
  <c r="AS374" i="20"/>
  <c r="AI374" i="20"/>
  <c r="AN374" i="20"/>
  <c r="AR374" i="20"/>
  <c r="AP374" i="20"/>
  <c r="AE337" i="20"/>
  <c r="AH337" i="20"/>
  <c r="AR337" i="20"/>
  <c r="AM337" i="20"/>
  <c r="AN337" i="20"/>
  <c r="AQ337" i="20"/>
  <c r="AD337" i="20"/>
  <c r="AH323" i="20"/>
  <c r="AE323" i="20"/>
  <c r="AS323" i="20"/>
  <c r="AJ323" i="20"/>
  <c r="AK323" i="20"/>
  <c r="AH263" i="20"/>
  <c r="AE263" i="20"/>
  <c r="AI263" i="20"/>
  <c r="AR263" i="20"/>
  <c r="AH153" i="20"/>
  <c r="AO153" i="20"/>
  <c r="AO77" i="20"/>
  <c r="AH77" i="20"/>
  <c r="AE77" i="20"/>
  <c r="AM163" i="20"/>
  <c r="AR444" i="20"/>
  <c r="AN256" i="20"/>
  <c r="AD256" i="20"/>
  <c r="AM512" i="20"/>
  <c r="AP77" i="20"/>
  <c r="AK153" i="20"/>
  <c r="AI380" i="20"/>
  <c r="AK570" i="20"/>
  <c r="AK163" i="20"/>
  <c r="AK320" i="20"/>
  <c r="AI163" i="20"/>
  <c r="AQ480" i="20"/>
  <c r="AM480" i="20"/>
  <c r="AR488" i="20"/>
  <c r="AF456" i="20"/>
  <c r="AN444" i="20"/>
  <c r="AS444" i="20"/>
  <c r="AN456" i="20"/>
  <c r="AO456" i="20"/>
  <c r="AR456" i="20"/>
  <c r="AK488" i="20"/>
  <c r="AP488" i="20"/>
  <c r="AR528" i="20"/>
  <c r="AJ528" i="20"/>
  <c r="AD528" i="20"/>
  <c r="AJ549" i="20"/>
  <c r="AN512" i="20"/>
  <c r="AF512" i="20"/>
  <c r="AR163" i="20"/>
  <c r="AD512" i="20"/>
  <c r="AP512" i="20"/>
  <c r="AN169" i="20"/>
  <c r="AS153" i="20"/>
  <c r="AJ77" i="20"/>
  <c r="AM77" i="20"/>
  <c r="AM153" i="20"/>
  <c r="AQ153" i="20"/>
  <c r="AD153" i="20"/>
  <c r="AS169" i="20"/>
  <c r="AQ512" i="20"/>
  <c r="AL438" i="20"/>
  <c r="AM474" i="20"/>
  <c r="AI337" i="20"/>
  <c r="AI533" i="20"/>
  <c r="AF263" i="20"/>
  <c r="AQ259" i="20"/>
  <c r="AJ263" i="20"/>
  <c r="AI259" i="20"/>
  <c r="AI323" i="20"/>
  <c r="AQ323" i="20"/>
  <c r="AL327" i="20"/>
  <c r="AO263" i="20"/>
  <c r="AN263" i="20"/>
  <c r="AO337" i="20"/>
  <c r="AR549" i="20"/>
  <c r="AO523" i="20"/>
  <c r="AQ523" i="20"/>
  <c r="AF549" i="20"/>
  <c r="AQ533" i="20"/>
  <c r="AS337" i="20"/>
  <c r="AE153" i="20"/>
  <c r="AE169" i="20"/>
  <c r="AH466" i="20"/>
  <c r="AP466" i="20"/>
  <c r="AF466" i="20"/>
  <c r="AS466" i="20"/>
  <c r="AE448" i="20"/>
  <c r="AH448" i="20"/>
  <c r="AD448" i="20"/>
  <c r="AH439" i="20"/>
  <c r="AL439" i="20"/>
  <c r="AO439" i="20"/>
  <c r="AK439" i="20"/>
  <c r="AP439" i="20"/>
  <c r="AE439" i="20"/>
  <c r="AR439" i="20"/>
  <c r="AI439" i="20"/>
  <c r="AH428" i="20"/>
  <c r="AE428" i="20"/>
  <c r="AJ428" i="20"/>
  <c r="AK428" i="20"/>
  <c r="AO428" i="20"/>
  <c r="AD428" i="20"/>
  <c r="AH385" i="20"/>
  <c r="AF385" i="20"/>
  <c r="AE385" i="20"/>
  <c r="AK385" i="20"/>
  <c r="AS385" i="20"/>
  <c r="AH375" i="20"/>
  <c r="AS375" i="20"/>
  <c r="AJ375" i="20"/>
  <c r="AN375" i="20"/>
  <c r="AE375" i="20"/>
  <c r="AK375" i="20"/>
  <c r="AH364" i="20"/>
  <c r="AE364" i="20"/>
  <c r="AF364" i="20"/>
  <c r="AQ364" i="20"/>
  <c r="AP364" i="20"/>
  <c r="AD364" i="20"/>
  <c r="AL364" i="20"/>
  <c r="AS364" i="20"/>
  <c r="AK364" i="20"/>
  <c r="AR364" i="20"/>
  <c r="AH358" i="20"/>
  <c r="AO358" i="20"/>
  <c r="AP358" i="20"/>
  <c r="AI358" i="20"/>
  <c r="AE358" i="20"/>
  <c r="AD358" i="20"/>
  <c r="AS358" i="20"/>
  <c r="AN358" i="20"/>
  <c r="AH301" i="20"/>
  <c r="AL301" i="20"/>
  <c r="AF301" i="20"/>
  <c r="AM301" i="20"/>
  <c r="AI301" i="20"/>
  <c r="AS301" i="20"/>
  <c r="AQ301" i="20"/>
  <c r="AH237" i="20"/>
  <c r="AE237" i="20"/>
  <c r="AF237" i="20"/>
  <c r="AM237" i="20"/>
  <c r="AL237" i="20"/>
  <c r="AD237" i="20"/>
  <c r="AN237" i="20"/>
  <c r="AR237" i="20"/>
  <c r="AP237" i="20"/>
  <c r="AE148" i="20"/>
  <c r="AH148" i="20"/>
  <c r="AO148" i="20"/>
  <c r="AR148" i="20"/>
  <c r="AK148" i="20"/>
  <c r="AN148" i="20"/>
  <c r="AF148" i="20"/>
  <c r="AM148" i="20"/>
  <c r="AQ148" i="20"/>
  <c r="AL148" i="20"/>
  <c r="AH134" i="20"/>
  <c r="AE134" i="20"/>
  <c r="AO134" i="20"/>
  <c r="AR134" i="20"/>
  <c r="AH129" i="20"/>
  <c r="AO129" i="20"/>
  <c r="AE129" i="20"/>
  <c r="AH113" i="20"/>
  <c r="AE113" i="20"/>
  <c r="AO113" i="20"/>
  <c r="AH523" i="20"/>
  <c r="AE523" i="20"/>
  <c r="AS523" i="20"/>
  <c r="AP523" i="20"/>
  <c r="AR523" i="20"/>
  <c r="AM523" i="20"/>
  <c r="AJ523" i="20"/>
  <c r="AF523" i="20"/>
  <c r="AI523" i="20"/>
  <c r="AH480" i="20"/>
  <c r="AE480" i="20"/>
  <c r="AR480" i="20"/>
  <c r="AH444" i="20"/>
  <c r="AE444" i="20"/>
  <c r="AF444" i="20"/>
  <c r="AH438" i="20"/>
  <c r="AE438" i="20"/>
  <c r="AS438" i="20"/>
  <c r="AF438" i="20"/>
  <c r="AP438" i="20"/>
  <c r="AH401" i="20"/>
  <c r="AP401" i="20"/>
  <c r="AE401" i="20"/>
  <c r="AJ401" i="20"/>
  <c r="AL401" i="20"/>
  <c r="AQ401" i="20"/>
  <c r="AO401" i="20"/>
  <c r="AD401" i="20"/>
  <c r="AH391" i="20"/>
  <c r="AE391" i="20"/>
  <c r="AR391" i="20"/>
  <c r="AQ391" i="20"/>
  <c r="AN391" i="20"/>
  <c r="AP391" i="20"/>
  <c r="AM391" i="20"/>
  <c r="AO391" i="20"/>
  <c r="AH327" i="20"/>
  <c r="AE327" i="20"/>
  <c r="AP327" i="20"/>
  <c r="AF327" i="20"/>
  <c r="AH320" i="20"/>
  <c r="AE320" i="20"/>
  <c r="AR320" i="20"/>
  <c r="AL320" i="20"/>
  <c r="AP320" i="20"/>
  <c r="AO320" i="20"/>
  <c r="AS320" i="20"/>
  <c r="AD320" i="20"/>
  <c r="AI320" i="20"/>
  <c r="AH259" i="20"/>
  <c r="AE259" i="20"/>
  <c r="AL259" i="20"/>
  <c r="AP259" i="20"/>
  <c r="AH256" i="20"/>
  <c r="AE256" i="20"/>
  <c r="AH163" i="20"/>
  <c r="AQ163" i="20"/>
  <c r="AN163" i="20"/>
  <c r="AJ163" i="20"/>
  <c r="AD374" i="20"/>
  <c r="AO163" i="20"/>
  <c r="AJ480" i="20"/>
  <c r="AD480" i="20"/>
  <c r="AK480" i="20"/>
  <c r="AD444" i="20"/>
  <c r="AL444" i="20"/>
  <c r="AQ456" i="20"/>
  <c r="AL456" i="20"/>
  <c r="AD456" i="20"/>
  <c r="AJ320" i="20"/>
  <c r="AP163" i="20"/>
  <c r="AK256" i="20"/>
  <c r="AR77" i="20"/>
  <c r="AQ77" i="20"/>
  <c r="AK77" i="20"/>
  <c r="AF169" i="20"/>
  <c r="AN153" i="20"/>
  <c r="AI153" i="20"/>
  <c r="AQ169" i="20"/>
  <c r="AD169" i="20"/>
  <c r="AM438" i="20"/>
  <c r="AJ391" i="20"/>
  <c r="AK259" i="20"/>
  <c r="AS259" i="20"/>
  <c r="AJ259" i="20"/>
  <c r="AD323" i="20"/>
  <c r="AR327" i="20"/>
  <c r="AM327" i="20"/>
  <c r="AL263" i="20"/>
  <c r="AP263" i="20"/>
  <c r="AD263" i="20"/>
  <c r="AJ380" i="20"/>
  <c r="AO259" i="20"/>
  <c r="AI327" i="20"/>
  <c r="AP533" i="20"/>
  <c r="AF391" i="20"/>
  <c r="AF256" i="20"/>
  <c r="AQ380" i="20"/>
  <c r="AN380" i="20"/>
  <c r="AN401" i="20"/>
  <c r="AR401" i="20"/>
  <c r="AL374" i="20"/>
  <c r="AD533" i="20"/>
  <c r="AM401" i="20"/>
  <c r="AP337" i="20"/>
  <c r="AO380" i="20"/>
  <c r="AS391" i="20"/>
  <c r="AS163" i="20"/>
  <c r="AS263" i="20"/>
  <c r="AF163" i="20"/>
  <c r="AF401" i="20"/>
  <c r="AK374" i="20"/>
  <c r="AF337" i="20"/>
  <c r="AK401" i="20"/>
  <c r="AF77" i="20"/>
  <c r="AQ549" i="20"/>
  <c r="AH549" i="20"/>
  <c r="AE549" i="20"/>
  <c r="AN549" i="20"/>
  <c r="AD549" i="20"/>
  <c r="AS549" i="20"/>
  <c r="AK549" i="20"/>
  <c r="AH539" i="20"/>
  <c r="AK539" i="20"/>
  <c r="AJ539" i="20"/>
  <c r="AS539" i="20"/>
  <c r="AM539" i="20"/>
  <c r="AE539" i="20"/>
  <c r="AN539" i="20"/>
  <c r="AO539" i="20"/>
  <c r="AH488" i="20"/>
  <c r="AF488" i="20"/>
  <c r="AE488" i="20"/>
  <c r="AS474" i="20"/>
  <c r="AI474" i="20"/>
  <c r="AD380" i="20"/>
  <c r="AM320" i="20"/>
  <c r="AL163" i="20"/>
  <c r="AL528" i="20"/>
  <c r="AN480" i="20"/>
  <c r="AI480" i="20"/>
  <c r="AI456" i="20"/>
  <c r="AK444" i="20"/>
  <c r="AM444" i="20"/>
  <c r="AP444" i="20"/>
  <c r="AK456" i="20"/>
  <c r="AJ456" i="20"/>
  <c r="AI488" i="20"/>
  <c r="AJ488" i="20"/>
  <c r="AK528" i="20"/>
  <c r="AI528" i="20"/>
  <c r="AO474" i="20"/>
  <c r="AR512" i="20"/>
  <c r="AQ320" i="20"/>
  <c r="AI256" i="20"/>
  <c r="AR169" i="20"/>
  <c r="AS77" i="20"/>
  <c r="AN77" i="20"/>
  <c r="AJ153" i="20"/>
  <c r="AK169" i="20"/>
  <c r="AD438" i="20"/>
  <c r="AN474" i="20"/>
  <c r="AM533" i="20"/>
  <c r="AI549" i="20"/>
  <c r="AN323" i="20"/>
  <c r="AN327" i="20"/>
  <c r="AF259" i="20"/>
  <c r="AN259" i="20"/>
  <c r="AL323" i="20"/>
  <c r="AM323" i="20"/>
  <c r="AS327" i="20"/>
  <c r="AJ327" i="20"/>
  <c r="AQ263" i="20"/>
  <c r="AL337" i="20"/>
  <c r="AQ438" i="20"/>
  <c r="AR259" i="20"/>
  <c r="AD474" i="20"/>
  <c r="AN438" i="20"/>
  <c r="AO327" i="20"/>
  <c r="AR438" i="20"/>
  <c r="AM549" i="20"/>
  <c r="AS380" i="20"/>
  <c r="AF320" i="20"/>
  <c r="AI539" i="20"/>
  <c r="AO374" i="20"/>
  <c r="AO533" i="20"/>
  <c r="AO549" i="20"/>
  <c r="AR474" i="20"/>
  <c r="AL391" i="20"/>
  <c r="AL539" i="20"/>
  <c r="AJ256" i="20"/>
  <c r="AK391" i="20"/>
  <c r="AO169" i="20"/>
  <c r="AH555" i="20"/>
  <c r="AE555" i="20"/>
  <c r="AM555" i="20"/>
  <c r="AH491" i="20"/>
  <c r="AF491" i="20"/>
  <c r="AE491" i="20"/>
  <c r="AE464" i="20"/>
  <c r="AH464" i="20"/>
  <c r="AF464" i="20"/>
  <c r="AE417" i="20"/>
  <c r="AH417" i="20"/>
  <c r="AH407" i="20"/>
  <c r="AE407" i="20"/>
  <c r="AF407" i="20"/>
  <c r="AN407" i="20"/>
  <c r="AO407" i="20"/>
  <c r="AK407" i="20"/>
  <c r="AH390" i="20"/>
  <c r="AE390" i="20"/>
  <c r="AE353" i="20"/>
  <c r="AH353" i="20"/>
  <c r="AH343" i="20"/>
  <c r="AE343" i="20"/>
  <c r="AM343" i="20"/>
  <c r="AH332" i="20"/>
  <c r="AE332" i="20"/>
  <c r="AF332" i="20"/>
  <c r="AM332" i="20"/>
  <c r="AH269" i="20"/>
  <c r="AE269" i="20"/>
  <c r="AH199" i="20"/>
  <c r="AE199" i="20"/>
  <c r="AH179" i="20"/>
  <c r="AM179" i="20"/>
  <c r="AH83" i="20"/>
  <c r="AE83" i="20"/>
  <c r="AH69" i="20"/>
  <c r="AE69" i="20"/>
  <c r="AS69" i="20"/>
  <c r="AJ69" i="20"/>
  <c r="AM69" i="20"/>
  <c r="AH65" i="20"/>
  <c r="AE65" i="20"/>
  <c r="AH571" i="20"/>
  <c r="AE571" i="20"/>
  <c r="AQ571" i="20"/>
  <c r="AE517" i="20"/>
  <c r="AH517" i="20"/>
  <c r="AH507" i="20"/>
  <c r="AE507" i="20"/>
  <c r="AF507" i="20"/>
  <c r="AQ507" i="20"/>
  <c r="AE472" i="20"/>
  <c r="AH472" i="20"/>
  <c r="AH423" i="20"/>
  <c r="AE423" i="20"/>
  <c r="AF423" i="20"/>
  <c r="AQ423" i="20"/>
  <c r="AH412" i="20"/>
  <c r="AL412" i="20"/>
  <c r="AR412" i="20"/>
  <c r="AH406" i="20"/>
  <c r="AE406" i="20"/>
  <c r="AE369" i="20"/>
  <c r="AH369" i="20"/>
  <c r="AH348" i="20"/>
  <c r="AE348" i="20"/>
  <c r="AJ348" i="20"/>
  <c r="AH295" i="20"/>
  <c r="AE295" i="20"/>
  <c r="AH291" i="20"/>
  <c r="AE291" i="20"/>
  <c r="AH288" i="20"/>
  <c r="AE288" i="20"/>
  <c r="AF288" i="20"/>
  <c r="AH231" i="20"/>
  <c r="AE231" i="20"/>
  <c r="AH227" i="20"/>
  <c r="AK227" i="20"/>
  <c r="AH224" i="20"/>
  <c r="AE224" i="20"/>
  <c r="AP224" i="20"/>
  <c r="AO142" i="20"/>
  <c r="AH142" i="20"/>
  <c r="AH104" i="20"/>
  <c r="AE104" i="20"/>
  <c r="AI104" i="20"/>
  <c r="AH98" i="20"/>
  <c r="AO98" i="20"/>
  <c r="AE98" i="20"/>
  <c r="AS98" i="20"/>
  <c r="AH88" i="20"/>
  <c r="AO88" i="20"/>
  <c r="AE88" i="20"/>
  <c r="AH436" i="20"/>
  <c r="AE436" i="20"/>
  <c r="AH414" i="20"/>
  <c r="AE414" i="20"/>
  <c r="AH398" i="20"/>
  <c r="AE398" i="20"/>
  <c r="AH382" i="20"/>
  <c r="AE382" i="20"/>
  <c r="AH372" i="20"/>
  <c r="AE372" i="20"/>
  <c r="AH356" i="20"/>
  <c r="AQ356" i="20"/>
  <c r="AL356" i="20"/>
  <c r="AH340" i="20"/>
  <c r="AE340" i="20"/>
  <c r="AH334" i="20"/>
  <c r="AE334" i="20"/>
  <c r="AH324" i="20"/>
  <c r="AE324" i="20"/>
  <c r="AH260" i="20"/>
  <c r="AD260" i="20"/>
  <c r="AH218" i="20"/>
  <c r="AE218" i="20"/>
  <c r="AH154" i="20"/>
  <c r="AE154" i="20"/>
  <c r="AF154" i="20"/>
  <c r="AH139" i="20"/>
  <c r="AE139" i="20"/>
  <c r="AH80" i="20"/>
  <c r="AE80" i="20"/>
  <c r="AH74" i="20"/>
  <c r="AE74" i="20"/>
  <c r="AO74" i="20"/>
  <c r="AE557" i="20"/>
  <c r="AO557" i="20"/>
  <c r="AH547" i="20"/>
  <c r="AE547" i="20"/>
  <c r="AH531" i="20"/>
  <c r="AR531" i="20"/>
  <c r="AH515" i="20"/>
  <c r="AE515" i="20"/>
  <c r="AK515" i="20"/>
  <c r="AE493" i="20"/>
  <c r="AL493" i="20"/>
  <c r="AH431" i="20"/>
  <c r="AE431" i="20"/>
  <c r="AE409" i="20"/>
  <c r="AF409" i="20"/>
  <c r="AH399" i="20"/>
  <c r="AE399" i="20"/>
  <c r="AH383" i="20"/>
  <c r="AE383" i="20"/>
  <c r="AH312" i="20"/>
  <c r="AE312" i="20"/>
  <c r="AH309" i="20"/>
  <c r="AH303" i="20"/>
  <c r="AH283" i="20"/>
  <c r="AE283" i="20"/>
  <c r="AH280" i="20"/>
  <c r="AE280" i="20"/>
  <c r="AR280" i="20"/>
  <c r="AH277" i="20"/>
  <c r="AH268" i="20"/>
  <c r="AE268" i="20"/>
  <c r="AH248" i="20"/>
  <c r="AE248" i="20"/>
  <c r="AH239" i="20"/>
  <c r="AH236" i="20"/>
  <c r="AE236" i="20"/>
  <c r="AH207" i="20"/>
  <c r="AH191" i="20"/>
  <c r="AE191" i="20"/>
  <c r="AH125" i="20"/>
  <c r="AE125" i="20"/>
  <c r="AH122" i="20"/>
  <c r="AO122" i="20"/>
  <c r="AH75" i="20"/>
  <c r="AE75" i="20"/>
  <c r="AO75" i="20"/>
  <c r="AH61" i="20"/>
  <c r="AO61" i="20"/>
  <c r="AM61" i="20"/>
  <c r="AR61" i="20"/>
  <c r="AL61" i="20"/>
  <c r="AH58" i="20"/>
  <c r="AP58" i="20"/>
  <c r="AR58" i="20"/>
  <c r="AQ58" i="20"/>
  <c r="AD47" i="20"/>
  <c r="AJ47" i="20"/>
  <c r="AR47" i="20"/>
  <c r="AH47" i="20"/>
  <c r="AL47" i="20"/>
  <c r="AN47" i="20"/>
  <c r="AK475" i="20"/>
  <c r="AR459" i="20"/>
  <c r="AI196" i="20"/>
  <c r="AO72" i="20"/>
  <c r="AE90" i="20"/>
  <c r="AE93" i="20"/>
  <c r="AE109" i="20"/>
  <c r="AE115" i="20"/>
  <c r="AE171" i="20"/>
  <c r="AE181" i="20"/>
  <c r="AE186" i="20"/>
  <c r="AE208" i="20"/>
  <c r="AE240" i="20"/>
  <c r="AE252" i="20"/>
  <c r="AE266" i="20"/>
  <c r="AE272" i="20"/>
  <c r="AE298" i="20"/>
  <c r="AE338" i="20"/>
  <c r="AE330" i="20"/>
  <c r="AE349" i="20"/>
  <c r="AE370" i="20"/>
  <c r="AE381" i="20"/>
  <c r="AE410" i="20"/>
  <c r="AE437" i="20"/>
  <c r="AE445" i="20"/>
  <c r="AE471" i="20"/>
  <c r="AE473" i="20"/>
  <c r="AE487" i="20"/>
  <c r="AE483" i="20"/>
  <c r="AE521" i="20"/>
  <c r="AE561" i="20"/>
  <c r="AE49" i="20"/>
  <c r="AF49" i="20"/>
  <c r="AL49" i="20"/>
  <c r="AQ49" i="20"/>
  <c r="AM135" i="20"/>
  <c r="AS200" i="20"/>
  <c r="AS530" i="20"/>
  <c r="AS176" i="20"/>
  <c r="AN538" i="20"/>
  <c r="AL570" i="20"/>
  <c r="AN94" i="20"/>
  <c r="AQ514" i="20"/>
  <c r="AE562" i="20"/>
  <c r="AH562" i="20"/>
  <c r="AS562" i="20"/>
  <c r="AJ562" i="20"/>
  <c r="AD562" i="20"/>
  <c r="AM562" i="20"/>
  <c r="AF562" i="20"/>
  <c r="AI562" i="20"/>
  <c r="AP562" i="20"/>
  <c r="AQ562" i="20"/>
  <c r="AO562" i="20"/>
  <c r="AK562" i="20"/>
  <c r="AO546" i="20"/>
  <c r="AH546" i="20"/>
  <c r="AE546" i="20"/>
  <c r="AF546" i="20"/>
  <c r="AD546" i="20"/>
  <c r="AM546" i="20"/>
  <c r="AI546" i="20"/>
  <c r="AK546" i="20"/>
  <c r="AS546" i="20"/>
  <c r="AP546" i="20"/>
  <c r="AR546" i="20"/>
  <c r="AJ546" i="20"/>
  <c r="AE530" i="20"/>
  <c r="AH530" i="20"/>
  <c r="AF530" i="20"/>
  <c r="AK530" i="20"/>
  <c r="AM530" i="20"/>
  <c r="AI530" i="20"/>
  <c r="AJ530" i="20"/>
  <c r="AP530" i="20"/>
  <c r="AQ530" i="20"/>
  <c r="AN530" i="20"/>
  <c r="AD530" i="20"/>
  <c r="AD506" i="20"/>
  <c r="AF506" i="20"/>
  <c r="AS506" i="20"/>
  <c r="AQ506" i="20"/>
  <c r="AK506" i="20"/>
  <c r="AH506" i="20"/>
  <c r="AL506" i="20"/>
  <c r="AR506" i="20"/>
  <c r="AO506" i="20"/>
  <c r="AP506" i="20"/>
  <c r="AM506" i="20"/>
  <c r="AE506" i="20"/>
  <c r="AN506" i="20"/>
  <c r="AJ506" i="20"/>
  <c r="AJ490" i="20"/>
  <c r="AQ490" i="20"/>
  <c r="AO490" i="20"/>
  <c r="AI490" i="20"/>
  <c r="AF490" i="20"/>
  <c r="AD490" i="20"/>
  <c r="AN490" i="20"/>
  <c r="AH490" i="20"/>
  <c r="AE490" i="20"/>
  <c r="AR490" i="20"/>
  <c r="AS490" i="20"/>
  <c r="AK490" i="20"/>
  <c r="AM490" i="20"/>
  <c r="AL490" i="20"/>
  <c r="AH184" i="20"/>
  <c r="AE184" i="20"/>
  <c r="AO184" i="20"/>
  <c r="AK184" i="20"/>
  <c r="AJ184" i="20"/>
  <c r="AF184" i="20"/>
  <c r="AD184" i="20"/>
  <c r="AP184" i="20"/>
  <c r="AQ184" i="20"/>
  <c r="AR184" i="20"/>
  <c r="AL184" i="20"/>
  <c r="AM184" i="20"/>
  <c r="AN184" i="20"/>
  <c r="AH167" i="20"/>
  <c r="AE167" i="20"/>
  <c r="AL167" i="20"/>
  <c r="AF167" i="20"/>
  <c r="AR167" i="20"/>
  <c r="AJ167" i="20"/>
  <c r="AS167" i="20"/>
  <c r="AN167" i="20"/>
  <c r="AK167" i="20"/>
  <c r="AQ167" i="20"/>
  <c r="AM167" i="20"/>
  <c r="AH151" i="20"/>
  <c r="AE151" i="20"/>
  <c r="AS151" i="20"/>
  <c r="AF151" i="20"/>
  <c r="AI151" i="20"/>
  <c r="AO151" i="20"/>
  <c r="AQ151" i="20"/>
  <c r="AJ151" i="20"/>
  <c r="AR151" i="20"/>
  <c r="AL151" i="20"/>
  <c r="AK151" i="20"/>
  <c r="AH135" i="20"/>
  <c r="AE135" i="20"/>
  <c r="AR135" i="20"/>
  <c r="AF135" i="20"/>
  <c r="AS135" i="20"/>
  <c r="AJ135" i="20"/>
  <c r="AK135" i="20"/>
  <c r="AI135" i="20"/>
  <c r="AN135" i="20"/>
  <c r="AO135" i="20"/>
  <c r="AQ135" i="20"/>
  <c r="AH126" i="20"/>
  <c r="AO126" i="20"/>
  <c r="AR126" i="20"/>
  <c r="AP126" i="20"/>
  <c r="AE126" i="20"/>
  <c r="AJ126" i="20"/>
  <c r="AQ126" i="20"/>
  <c r="AS126" i="20"/>
  <c r="AK126" i="20"/>
  <c r="AD126" i="20"/>
  <c r="AI126" i="20"/>
  <c r="AN126" i="20"/>
  <c r="AF126" i="20"/>
  <c r="AH118" i="20"/>
  <c r="AL118" i="20"/>
  <c r="AJ118" i="20"/>
  <c r="AE118" i="20"/>
  <c r="AM118" i="20"/>
  <c r="AP118" i="20"/>
  <c r="AN118" i="20"/>
  <c r="AI118" i="20"/>
  <c r="AQ118" i="20"/>
  <c r="AS118" i="20"/>
  <c r="AR118" i="20"/>
  <c r="AF118" i="20"/>
  <c r="AO118" i="20"/>
  <c r="AK118" i="20"/>
  <c r="AH102" i="20"/>
  <c r="AO102" i="20"/>
  <c r="AD102" i="20"/>
  <c r="AN102" i="20"/>
  <c r="AE102" i="20"/>
  <c r="AQ102" i="20"/>
  <c r="AL102" i="20"/>
  <c r="AM102" i="20"/>
  <c r="AK102" i="20"/>
  <c r="AP102" i="20"/>
  <c r="AS102" i="20"/>
  <c r="AR102" i="20"/>
  <c r="AJ102" i="20"/>
  <c r="AF102" i="20"/>
  <c r="AI102" i="20"/>
  <c r="AH86" i="20"/>
  <c r="AE86" i="20"/>
  <c r="AQ86" i="20"/>
  <c r="AS86" i="20"/>
  <c r="AO86" i="20"/>
  <c r="AP86" i="20"/>
  <c r="AI86" i="20"/>
  <c r="AR86" i="20"/>
  <c r="AM86" i="20"/>
  <c r="AL86" i="20"/>
  <c r="AF86" i="20"/>
  <c r="AD86" i="20"/>
  <c r="AK86" i="20"/>
  <c r="AH62" i="20"/>
  <c r="AO62" i="20"/>
  <c r="AK62" i="20"/>
  <c r="AD62" i="20"/>
  <c r="AJ62" i="20"/>
  <c r="AI62" i="20"/>
  <c r="AN62" i="20"/>
  <c r="AE62" i="20"/>
  <c r="AF62" i="20"/>
  <c r="AP62" i="20"/>
  <c r="AQ62" i="20"/>
  <c r="AL62" i="20"/>
  <c r="AM62" i="20"/>
  <c r="AR62" i="20"/>
  <c r="AD118" i="20"/>
  <c r="AR110" i="20"/>
  <c r="AQ143" i="20"/>
  <c r="AD151" i="20"/>
  <c r="AP167" i="20"/>
  <c r="AL562" i="20"/>
  <c r="AN86" i="20"/>
  <c r="AI184" i="20"/>
  <c r="AJ86" i="20"/>
  <c r="AM126" i="20"/>
  <c r="AH570" i="20"/>
  <c r="AE570" i="20"/>
  <c r="AI570" i="20"/>
  <c r="AM570" i="20"/>
  <c r="AF570" i="20"/>
  <c r="AS570" i="20"/>
  <c r="AJ570" i="20"/>
  <c r="AP570" i="20"/>
  <c r="AQ570" i="20"/>
  <c r="AN570" i="20"/>
  <c r="AO570" i="20"/>
  <c r="AE554" i="20"/>
  <c r="AF554" i="20"/>
  <c r="AH554" i="20"/>
  <c r="AK554" i="20"/>
  <c r="AP554" i="20"/>
  <c r="AS554" i="20"/>
  <c r="AM554" i="20"/>
  <c r="AO554" i="20"/>
  <c r="AD554" i="20"/>
  <c r="AJ554" i="20"/>
  <c r="AR554" i="20"/>
  <c r="AI554" i="20"/>
  <c r="AE538" i="20"/>
  <c r="AH538" i="20"/>
  <c r="AD538" i="20"/>
  <c r="AL538" i="20"/>
  <c r="AO538" i="20"/>
  <c r="AK538" i="20"/>
  <c r="AJ538" i="20"/>
  <c r="AR538" i="20"/>
  <c r="AQ538" i="20"/>
  <c r="AF538" i="20"/>
  <c r="AS538" i="20"/>
  <c r="AI538" i="20"/>
  <c r="AO522" i="20"/>
  <c r="AH522" i="20"/>
  <c r="AR522" i="20"/>
  <c r="AL522" i="20"/>
  <c r="AD522" i="20"/>
  <c r="AP522" i="20"/>
  <c r="AJ522" i="20"/>
  <c r="AE522" i="20"/>
  <c r="AS522" i="20"/>
  <c r="AQ522" i="20"/>
  <c r="AN522" i="20"/>
  <c r="AK522" i="20"/>
  <c r="AF522" i="20"/>
  <c r="AI522" i="20"/>
  <c r="AH514" i="20"/>
  <c r="AE514" i="20"/>
  <c r="AM514" i="20"/>
  <c r="AF514" i="20"/>
  <c r="AN514" i="20"/>
  <c r="AP514" i="20"/>
  <c r="AO514" i="20"/>
  <c r="AK514" i="20"/>
  <c r="AL514" i="20"/>
  <c r="AJ514" i="20"/>
  <c r="AR514" i="20"/>
  <c r="AI514" i="20"/>
  <c r="AE498" i="20"/>
  <c r="AO498" i="20"/>
  <c r="AK498" i="20"/>
  <c r="AL498" i="20"/>
  <c r="AQ498" i="20"/>
  <c r="AH498" i="20"/>
  <c r="AF498" i="20"/>
  <c r="AP498" i="20"/>
  <c r="AS498" i="20"/>
  <c r="AI498" i="20"/>
  <c r="AD498" i="20"/>
  <c r="AR498" i="20"/>
  <c r="AM498" i="20"/>
  <c r="AN498" i="20"/>
  <c r="AH200" i="20"/>
  <c r="AF200" i="20"/>
  <c r="AM200" i="20"/>
  <c r="AP200" i="20"/>
  <c r="AE200" i="20"/>
  <c r="AO200" i="20"/>
  <c r="AJ200" i="20"/>
  <c r="AR200" i="20"/>
  <c r="AQ200" i="20"/>
  <c r="AN200" i="20"/>
  <c r="AH192" i="20"/>
  <c r="AE192" i="20"/>
  <c r="AF192" i="20"/>
  <c r="AR192" i="20"/>
  <c r="AQ192" i="20"/>
  <c r="AI192" i="20"/>
  <c r="AN192" i="20"/>
  <c r="AK192" i="20"/>
  <c r="AJ192" i="20"/>
  <c r="AP192" i="20"/>
  <c r="AL192" i="20"/>
  <c r="AD192" i="20"/>
  <c r="AS192" i="20"/>
  <c r="AH176" i="20"/>
  <c r="AE176" i="20"/>
  <c r="AK176" i="20"/>
  <c r="AF176" i="20"/>
  <c r="AR176" i="20"/>
  <c r="AD176" i="20"/>
  <c r="AN176" i="20"/>
  <c r="AM176" i="20"/>
  <c r="AO176" i="20"/>
  <c r="AL176" i="20"/>
  <c r="AQ176" i="20"/>
  <c r="AP176" i="20"/>
  <c r="AH159" i="20"/>
  <c r="AO159" i="20"/>
  <c r="AF159" i="20"/>
  <c r="AM159" i="20"/>
  <c r="AE159" i="20"/>
  <c r="AS159" i="20"/>
  <c r="AN159" i="20"/>
  <c r="AJ159" i="20"/>
  <c r="AQ159" i="20"/>
  <c r="AK159" i="20"/>
  <c r="AL159" i="20"/>
  <c r="AR159" i="20"/>
  <c r="AD159" i="20"/>
  <c r="AH143" i="20"/>
  <c r="AO143" i="20"/>
  <c r="AR143" i="20"/>
  <c r="AP143" i="20"/>
  <c r="AE143" i="20"/>
  <c r="AS143" i="20"/>
  <c r="AN143" i="20"/>
  <c r="AF143" i="20"/>
  <c r="AI143" i="20"/>
  <c r="AD143" i="20"/>
  <c r="AM143" i="20"/>
  <c r="AJ143" i="20"/>
  <c r="AH110" i="20"/>
  <c r="AE110" i="20"/>
  <c r="AO110" i="20"/>
  <c r="AF110" i="20"/>
  <c r="AJ110" i="20"/>
  <c r="AI110" i="20"/>
  <c r="AS110" i="20"/>
  <c r="AK110" i="20"/>
  <c r="AQ110" i="20"/>
  <c r="AP110" i="20"/>
  <c r="AL110" i="20"/>
  <c r="AH94" i="20"/>
  <c r="AE94" i="20"/>
  <c r="AO94" i="20"/>
  <c r="AD94" i="20"/>
  <c r="AL94" i="20"/>
  <c r="AJ94" i="20"/>
  <c r="AR94" i="20"/>
  <c r="AM94" i="20"/>
  <c r="AP94" i="20"/>
  <c r="AQ94" i="20"/>
  <c r="AS94" i="20"/>
  <c r="AH78" i="20"/>
  <c r="AO78" i="20"/>
  <c r="AL78" i="20"/>
  <c r="AE78" i="20"/>
  <c r="AF78" i="20"/>
  <c r="AI78" i="20"/>
  <c r="AD78" i="20"/>
  <c r="AM78" i="20"/>
  <c r="AN78" i="20"/>
  <c r="AR78" i="20"/>
  <c r="AP78" i="20"/>
  <c r="AK78" i="20"/>
  <c r="AQ78" i="20"/>
  <c r="AS78" i="20"/>
  <c r="AH70" i="20"/>
  <c r="AL70" i="20"/>
  <c r="AM70" i="20"/>
  <c r="AR70" i="20"/>
  <c r="AE70" i="20"/>
  <c r="AO70" i="20"/>
  <c r="AF70" i="20"/>
  <c r="AP70" i="20"/>
  <c r="AQ70" i="20"/>
  <c r="AS70" i="20"/>
  <c r="AI70" i="20"/>
  <c r="AN70" i="20"/>
  <c r="AK70" i="20"/>
  <c r="AJ70" i="20"/>
  <c r="AD70" i="20"/>
  <c r="AH54" i="20"/>
  <c r="AE54" i="20"/>
  <c r="AK54" i="20"/>
  <c r="AD54" i="20"/>
  <c r="AJ54" i="20"/>
  <c r="AO54" i="20"/>
  <c r="AI54" i="20"/>
  <c r="AN54" i="20"/>
  <c r="AF54" i="20"/>
  <c r="AP54" i="20"/>
  <c r="AQ54" i="20"/>
  <c r="AL54" i="20"/>
  <c r="AR54" i="20"/>
  <c r="AM54" i="20"/>
  <c r="AI94" i="20"/>
  <c r="AI506" i="20"/>
  <c r="AO167" i="20"/>
  <c r="AK143" i="20"/>
  <c r="AN546" i="20"/>
  <c r="AP135" i="20"/>
  <c r="AI159" i="20"/>
  <c r="AK200" i="20"/>
  <c r="AO530" i="20"/>
  <c r="AL546" i="20"/>
  <c r="AD570" i="20"/>
  <c r="AM151" i="20"/>
  <c r="AM522" i="20"/>
  <c r="AQ554" i="20"/>
  <c r="AE572" i="20"/>
  <c r="AH572" i="20"/>
  <c r="AL572" i="20"/>
  <c r="AD572" i="20"/>
  <c r="AP572" i="20"/>
  <c r="AJ572" i="20"/>
  <c r="AN572" i="20"/>
  <c r="AQ572" i="20"/>
  <c r="AM572" i="20"/>
  <c r="AL564" i="20"/>
  <c r="AH564" i="20"/>
  <c r="AJ564" i="20"/>
  <c r="AS564" i="20"/>
  <c r="AF564" i="20"/>
  <c r="AE564" i="20"/>
  <c r="AQ564" i="20"/>
  <c r="AD564" i="20"/>
  <c r="AO564" i="20"/>
  <c r="AE556" i="20"/>
  <c r="AH556" i="20"/>
  <c r="AI556" i="20"/>
  <c r="AQ556" i="20"/>
  <c r="AF556" i="20"/>
  <c r="AL556" i="20"/>
  <c r="AK556" i="20"/>
  <c r="AR556" i="20"/>
  <c r="AH548" i="20"/>
  <c r="AF548" i="20"/>
  <c r="AE548" i="20"/>
  <c r="AS548" i="20"/>
  <c r="AM548" i="20"/>
  <c r="AP548" i="20"/>
  <c r="AD548" i="20"/>
  <c r="AK548" i="20"/>
  <c r="AN540" i="20"/>
  <c r="AH540" i="20"/>
  <c r="AE540" i="20"/>
  <c r="AO540" i="20"/>
  <c r="AQ540" i="20"/>
  <c r="AF540" i="20"/>
  <c r="AD540" i="20"/>
  <c r="AK540" i="20"/>
  <c r="AI540" i="20"/>
  <c r="AF532" i="20"/>
  <c r="AH532" i="20"/>
  <c r="AE532" i="20"/>
  <c r="AR532" i="20"/>
  <c r="AJ532" i="20"/>
  <c r="AO532" i="20"/>
  <c r="AQ532" i="20"/>
  <c r="AK532" i="20"/>
  <c r="AP524" i="20"/>
  <c r="AF524" i="20"/>
  <c r="AL524" i="20"/>
  <c r="AH524" i="20"/>
  <c r="AE524" i="20"/>
  <c r="AO524" i="20"/>
  <c r="AI524" i="20"/>
  <c r="AF516" i="20"/>
  <c r="AE516" i="20"/>
  <c r="AR516" i="20"/>
  <c r="AQ516" i="20"/>
  <c r="AH516" i="20"/>
  <c r="AI516" i="20"/>
  <c r="AS516" i="20"/>
  <c r="AK516" i="20"/>
  <c r="AL516" i="20"/>
  <c r="AD516" i="20"/>
  <c r="AJ516" i="20"/>
  <c r="AN516" i="20"/>
  <c r="AE508" i="20"/>
  <c r="AN508" i="20"/>
  <c r="AH508" i="20"/>
  <c r="AP508" i="20"/>
  <c r="AI508" i="20"/>
  <c r="AK508" i="20"/>
  <c r="AM508" i="20"/>
  <c r="AF508" i="20"/>
  <c r="AH500" i="20"/>
  <c r="AE500" i="20"/>
  <c r="AL500" i="20"/>
  <c r="AO500" i="20"/>
  <c r="AD500" i="20"/>
  <c r="AM500" i="20"/>
  <c r="AJ500" i="20"/>
  <c r="AF500" i="20"/>
  <c r="AK500" i="20"/>
  <c r="AI500" i="20"/>
  <c r="AP500" i="20"/>
  <c r="AO492" i="20"/>
  <c r="AE492" i="20"/>
  <c r="AP492" i="20"/>
  <c r="AH492" i="20"/>
  <c r="AL492" i="20"/>
  <c r="AQ492" i="20"/>
  <c r="AR492" i="20"/>
  <c r="AN492" i="20"/>
  <c r="AK492" i="20"/>
  <c r="AM492" i="20"/>
  <c r="AI492" i="20"/>
  <c r="AE568" i="20"/>
  <c r="AH568" i="20"/>
  <c r="AN568" i="20"/>
  <c r="AE560" i="20"/>
  <c r="AF560" i="20"/>
  <c r="AH560" i="20"/>
  <c r="AH552" i="20"/>
  <c r="AK552" i="20"/>
  <c r="AE544" i="20"/>
  <c r="AH544" i="20"/>
  <c r="AH536" i="20"/>
  <c r="AE536" i="20"/>
  <c r="AH528" i="20"/>
  <c r="AE528" i="20"/>
  <c r="AN520" i="20"/>
  <c r="AR520" i="20"/>
  <c r="AF520" i="20"/>
  <c r="AH520" i="20"/>
  <c r="AE520" i="20"/>
  <c r="AP520" i="20"/>
  <c r="AO520" i="20"/>
  <c r="AE512" i="20"/>
  <c r="AK512" i="20"/>
  <c r="AH512" i="20"/>
  <c r="AO512" i="20"/>
  <c r="AE504" i="20"/>
  <c r="AO504" i="20"/>
  <c r="AP504" i="20"/>
  <c r="AH504" i="20"/>
  <c r="AJ504" i="20"/>
  <c r="AE496" i="20"/>
  <c r="AR496" i="20"/>
  <c r="AM496" i="20"/>
  <c r="AH496" i="20"/>
  <c r="AI496" i="20"/>
  <c r="AH566" i="20"/>
  <c r="AF566" i="20"/>
  <c r="AH558" i="20"/>
  <c r="AE558" i="20"/>
  <c r="AD558" i="20"/>
  <c r="AQ558" i="20"/>
  <c r="AE550" i="20"/>
  <c r="AH550" i="20"/>
  <c r="AP550" i="20"/>
  <c r="AE542" i="20"/>
  <c r="AH542" i="20"/>
  <c r="AE534" i="20"/>
  <c r="AH534" i="20"/>
  <c r="AH526" i="20"/>
  <c r="AK526" i="20"/>
  <c r="AJ526" i="20"/>
  <c r="AR526" i="20"/>
  <c r="AO518" i="20"/>
  <c r="AH518" i="20"/>
  <c r="AD518" i="20"/>
  <c r="AF518" i="20"/>
  <c r="AQ510" i="20"/>
  <c r="AF510" i="20"/>
  <c r="AH510" i="20"/>
  <c r="AM510" i="20"/>
  <c r="AD510" i="20"/>
  <c r="AI502" i="20"/>
  <c r="AO502" i="20"/>
  <c r="AP502" i="20"/>
  <c r="AH502" i="20"/>
  <c r="AE502" i="20"/>
  <c r="AF502" i="20"/>
  <c r="AO494" i="20"/>
  <c r="AP494" i="20"/>
  <c r="AD494" i="20"/>
  <c r="AN494" i="20"/>
  <c r="AI494" i="20"/>
  <c r="AF494" i="20"/>
  <c r="AK494" i="20"/>
  <c r="AH494" i="20"/>
  <c r="AE494" i="20"/>
  <c r="AL494" i="20"/>
  <c r="AJ494" i="20"/>
  <c r="AQ494" i="20"/>
  <c r="AE46" i="20"/>
  <c r="AH46" i="20"/>
  <c r="AJ46" i="20"/>
  <c r="AL46" i="20"/>
  <c r="AN46" i="20"/>
  <c r="AP46" i="20"/>
  <c r="AR46" i="20"/>
  <c r="AD46" i="20"/>
  <c r="AF46" i="20"/>
  <c r="AI46" i="20"/>
  <c r="AK46" i="20"/>
  <c r="AM46" i="20"/>
  <c r="AO46" i="20"/>
  <c r="AQ46" i="20"/>
  <c r="AR49" i="20"/>
  <c r="AN49" i="20"/>
  <c r="AJ49" i="20"/>
  <c r="AQ47" i="20"/>
  <c r="AO47" i="20"/>
  <c r="AM47" i="20"/>
  <c r="AK47" i="20"/>
  <c r="AI47" i="20"/>
  <c r="AF47" i="20"/>
  <c r="AJ10" i="14"/>
  <c r="AJ11" i="14"/>
  <c r="AJ54" i="14"/>
  <c r="AJ30" i="14"/>
  <c r="AJ28" i="14"/>
  <c r="AJ16" i="14"/>
  <c r="AJ21" i="14"/>
  <c r="AJ8" i="14"/>
  <c r="H8" i="36"/>
  <c r="J8" i="36" s="1"/>
  <c r="AJ24" i="14"/>
  <c r="AJ23" i="14"/>
  <c r="AJ20" i="14"/>
  <c r="AJ52" i="14"/>
  <c r="AJ18" i="14"/>
  <c r="H6" i="36"/>
  <c r="U95" i="19"/>
  <c r="H9" i="36"/>
  <c r="H10" i="36"/>
  <c r="H7" i="36"/>
  <c r="O135" i="37" l="1"/>
  <c r="O137" i="37"/>
  <c r="N141" i="37"/>
  <c r="L141" i="37"/>
  <c r="E142" i="37"/>
  <c r="D142" i="37"/>
  <c r="L142" i="37"/>
  <c r="L138" i="37"/>
  <c r="J138" i="37"/>
  <c r="F138" i="37"/>
  <c r="G138" i="37"/>
  <c r="J143" i="37"/>
  <c r="G143" i="37"/>
  <c r="N136" i="37"/>
  <c r="E139" i="37"/>
  <c r="D139" i="37"/>
  <c r="N139" i="37"/>
  <c r="M136" i="37"/>
  <c r="M142" i="37"/>
  <c r="M143" i="37"/>
  <c r="M137" i="37"/>
  <c r="L137" i="37"/>
  <c r="K137" i="37"/>
  <c r="J135" i="37"/>
  <c r="I135" i="37"/>
  <c r="F135" i="37"/>
  <c r="E135" i="37"/>
  <c r="O140" i="37"/>
  <c r="O134" i="37"/>
  <c r="O138" i="37"/>
  <c r="J134" i="37"/>
  <c r="I134" i="37"/>
  <c r="F140" i="37"/>
  <c r="H140" i="37"/>
  <c r="G140" i="37"/>
  <c r="D141" i="37"/>
  <c r="H141" i="37"/>
  <c r="J141" i="37"/>
  <c r="I142" i="37"/>
  <c r="N138" i="37"/>
  <c r="H138" i="37"/>
  <c r="K138" i="37"/>
  <c r="H143" i="37"/>
  <c r="F143" i="37"/>
  <c r="E143" i="37"/>
  <c r="L136" i="37"/>
  <c r="K136" i="37"/>
  <c r="J136" i="37"/>
  <c r="L139" i="37"/>
  <c r="I139" i="37"/>
  <c r="M139" i="37"/>
  <c r="J137" i="37"/>
  <c r="I137" i="37"/>
  <c r="H135" i="37"/>
  <c r="G135" i="37"/>
  <c r="N135" i="37"/>
  <c r="O141" i="37"/>
  <c r="O136" i="37"/>
  <c r="H134" i="37"/>
  <c r="G134" i="37"/>
  <c r="F134" i="37"/>
  <c r="E134" i="37"/>
  <c r="K140" i="37"/>
  <c r="D140" i="37"/>
  <c r="F141" i="37"/>
  <c r="G141" i="37"/>
  <c r="E141" i="37"/>
  <c r="K142" i="37"/>
  <c r="J142" i="37"/>
  <c r="G142" i="37"/>
  <c r="F142" i="37"/>
  <c r="D138" i="37"/>
  <c r="M141" i="37"/>
  <c r="D143" i="37"/>
  <c r="N143" i="37"/>
  <c r="I136" i="37"/>
  <c r="H136" i="37"/>
  <c r="K139" i="37"/>
  <c r="J139" i="37"/>
  <c r="G139" i="37"/>
  <c r="H137" i="37"/>
  <c r="G137" i="37"/>
  <c r="F137" i="37"/>
  <c r="E137" i="37"/>
  <c r="D135" i="37"/>
  <c r="L135" i="37"/>
  <c r="K135" i="37"/>
  <c r="O142" i="37"/>
  <c r="O143" i="37"/>
  <c r="D134" i="37"/>
  <c r="N134" i="37"/>
  <c r="N140" i="37"/>
  <c r="M140" i="37"/>
  <c r="I141" i="37"/>
  <c r="K141" i="37"/>
  <c r="H142" i="37"/>
  <c r="N142" i="37"/>
  <c r="E138" i="37"/>
  <c r="I138" i="37"/>
  <c r="L143" i="37"/>
  <c r="K143" i="37"/>
  <c r="I143" i="37"/>
  <c r="G136" i="37"/>
  <c r="F136" i="37"/>
  <c r="E136" i="37"/>
  <c r="D136" i="37"/>
  <c r="H139" i="37"/>
  <c r="F139" i="37"/>
  <c r="M138" i="37"/>
  <c r="D137" i="37"/>
  <c r="N137" i="37"/>
  <c r="M135" i="37"/>
  <c r="O139" i="37"/>
  <c r="M134" i="37"/>
  <c r="L134" i="37"/>
  <c r="K134" i="37"/>
  <c r="L140" i="37"/>
  <c r="E140" i="37"/>
  <c r="J140" i="37"/>
  <c r="I140" i="37"/>
  <c r="N19" i="37"/>
  <c r="N18" i="37"/>
  <c r="N57" i="37"/>
  <c r="N21" i="37"/>
  <c r="N56" i="37"/>
  <c r="N65" i="37"/>
  <c r="N50" i="37"/>
  <c r="N52" i="37"/>
  <c r="C20" i="37"/>
  <c r="C13" i="43"/>
  <c r="C22" i="43"/>
  <c r="N20" i="37"/>
  <c r="M52" i="37"/>
  <c r="G52" i="37"/>
  <c r="J52" i="37"/>
  <c r="F52" i="37"/>
  <c r="E52" i="37"/>
  <c r="J66" i="37"/>
  <c r="I66" i="37"/>
  <c r="F66" i="37"/>
  <c r="E66" i="37"/>
  <c r="K67" i="37"/>
  <c r="J67" i="37"/>
  <c r="H67" i="37"/>
  <c r="N22" i="37"/>
  <c r="N59" i="37"/>
  <c r="G66" i="37"/>
  <c r="M66" i="37"/>
  <c r="I67" i="37"/>
  <c r="F67" i="37"/>
  <c r="N58" i="37"/>
  <c r="N54" i="37"/>
  <c r="N55" i="37"/>
  <c r="D52" i="37"/>
  <c r="C52" i="37"/>
  <c r="L52" i="37"/>
  <c r="K52" i="37"/>
  <c r="H52" i="37"/>
  <c r="D66" i="37"/>
  <c r="C66" i="37"/>
  <c r="K66" i="37"/>
  <c r="G67" i="37"/>
  <c r="E67" i="37"/>
  <c r="D67" i="37"/>
  <c r="L66" i="37"/>
  <c r="L67" i="37"/>
  <c r="N66" i="37"/>
  <c r="N61" i="37"/>
  <c r="I22" i="43"/>
  <c r="I52" i="37"/>
  <c r="H66" i="37"/>
  <c r="C67" i="37"/>
  <c r="M67" i="37"/>
  <c r="N67" i="37"/>
  <c r="H20" i="43"/>
  <c r="H22" i="43"/>
  <c r="H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I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C17" i="43"/>
  <c r="C15" i="43"/>
  <c r="F56" i="37"/>
  <c r="L62" i="37"/>
  <c r="F50" i="37"/>
  <c r="J50" i="37"/>
  <c r="E61" i="37"/>
  <c r="C62" i="37"/>
  <c r="E56" i="37"/>
  <c r="J51" i="37"/>
  <c r="E51" i="37"/>
  <c r="H61" i="37"/>
  <c r="L55" i="37"/>
  <c r="I55" i="37"/>
  <c r="K57" i="37"/>
  <c r="M62" i="37"/>
  <c r="L50" i="37"/>
  <c r="AT36" i="40"/>
  <c r="C18" i="43"/>
  <c r="C19" i="43"/>
  <c r="C14" i="43"/>
  <c r="H13" i="43"/>
  <c r="C16" i="43"/>
  <c r="C21" i="43"/>
  <c r="AN17" i="40"/>
  <c r="C20" i="43"/>
  <c r="H18" i="43"/>
  <c r="H16" i="43"/>
  <c r="AN36" i="40"/>
  <c r="H12" i="43"/>
  <c r="H15" i="43"/>
  <c r="Z8" i="72"/>
  <c r="L20" i="40"/>
  <c r="L25" i="40" s="1"/>
  <c r="H14" i="43"/>
  <c r="H19" i="43"/>
  <c r="H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AF17" i="37"/>
  <c r="AH3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AF20" i="37"/>
  <c r="H64" i="37"/>
  <c r="AH21" i="37"/>
  <c r="AJ32" i="37"/>
  <c r="I17" i="43"/>
  <c r="AG21" i="37"/>
  <c r="AI32" i="37"/>
  <c r="L59" i="37"/>
  <c r="AD30" i="37"/>
  <c r="AB19" i="37"/>
  <c r="AF21" i="37"/>
  <c r="AH32" i="37"/>
  <c r="AE21" i="37"/>
  <c r="G64" i="37"/>
  <c r="AG32" i="37"/>
  <c r="AF31" i="37"/>
  <c r="AD20" i="37"/>
  <c r="AE30" i="37"/>
  <c r="M59" i="37"/>
  <c r="C59" i="37"/>
  <c r="AE19" i="37"/>
  <c r="AG30" i="37"/>
  <c r="AI19" i="37"/>
  <c r="L64" i="37"/>
  <c r="AL21" i="37"/>
  <c r="AN32" i="37"/>
  <c r="I20" i="43"/>
  <c r="AF32" i="37"/>
  <c r="F64" i="37"/>
  <c r="AD21" i="37"/>
  <c r="I15" i="43"/>
  <c r="K64" i="37"/>
  <c r="AK21" i="37"/>
  <c r="AM32" i="37"/>
  <c r="I14" i="43"/>
  <c r="E64" i="37"/>
  <c r="AE32" i="37"/>
  <c r="AC21" i="37"/>
  <c r="L51" i="37"/>
  <c r="K51" i="37"/>
  <c r="H51" i="37"/>
  <c r="J59" i="37"/>
  <c r="AD19" i="37"/>
  <c r="AF30" i="37"/>
  <c r="AF19" i="37"/>
  <c r="AJ30" i="37"/>
  <c r="AH19" i="37"/>
  <c r="AA19" i="37"/>
  <c r="AC30" i="37"/>
  <c r="J57" i="37"/>
  <c r="H58" i="37"/>
  <c r="M58" i="37"/>
  <c r="AI30" i="37"/>
  <c r="AK17" i="37"/>
  <c r="I21" i="43"/>
  <c r="M64" i="37"/>
  <c r="AI17" i="37"/>
  <c r="AM31" i="37"/>
  <c r="AK20" i="37"/>
  <c r="G59" i="37"/>
  <c r="E59" i="37"/>
  <c r="J58" i="37"/>
  <c r="AL20" i="37"/>
  <c r="AN31" i="37"/>
  <c r="J64" i="37"/>
  <c r="AJ21" i="37"/>
  <c r="AL32" i="37"/>
  <c r="I19" i="43"/>
  <c r="AD32" i="37"/>
  <c r="AB21" i="37"/>
  <c r="I13" i="43"/>
  <c r="D64" i="37"/>
  <c r="AI21" i="37"/>
  <c r="I64" i="37"/>
  <c r="AK32" i="37"/>
  <c r="I18" i="43"/>
  <c r="I12" i="43"/>
  <c r="AC32" i="37"/>
  <c r="C64" i="37"/>
  <c r="AA21" i="37"/>
  <c r="AA17" i="37"/>
  <c r="AI20" i="37"/>
  <c r="AL31" i="37"/>
  <c r="AJ20" i="37"/>
  <c r="AC31" i="37"/>
  <c r="AA20" i="37"/>
  <c r="K59" i="37"/>
  <c r="I59" i="37"/>
  <c r="D59" i="37"/>
  <c r="F59" i="37"/>
  <c r="AK19" i="37"/>
  <c r="AL19" i="37"/>
  <c r="AN30" i="37"/>
  <c r="H57" i="37"/>
  <c r="C58" i="37"/>
  <c r="I8" i="36"/>
  <c r="L8" i="36" s="1"/>
  <c r="N10" i="62" s="1"/>
  <c r="K8" i="36"/>
  <c r="I7" i="36"/>
  <c r="K7" i="36"/>
  <c r="J7" i="36"/>
  <c r="H11" i="36"/>
  <c r="K6" i="36"/>
  <c r="J6" i="36"/>
  <c r="I6" i="36"/>
  <c r="I10" i="36"/>
  <c r="K10" i="36"/>
  <c r="J10" i="36"/>
  <c r="J9" i="36"/>
  <c r="K9" i="36"/>
  <c r="I9" i="36"/>
  <c r="C60" i="37" l="1"/>
  <c r="K60" i="37"/>
  <c r="J60" i="37"/>
  <c r="E60" i="37"/>
  <c r="D60" i="37"/>
  <c r="L60" i="37"/>
  <c r="F60" i="37"/>
  <c r="N60" i="37"/>
  <c r="G60" i="37"/>
  <c r="H60" i="37"/>
  <c r="I60" i="37"/>
  <c r="M60" i="37"/>
  <c r="N23" i="37"/>
  <c r="D22" i="43" s="1"/>
  <c r="F22" i="43" s="1"/>
  <c r="G22" i="43" s="1"/>
  <c r="M23" i="37"/>
  <c r="L23" i="37"/>
  <c r="D20" i="43" s="1"/>
  <c r="F20" i="43" s="1"/>
  <c r="G20" i="43" s="1"/>
  <c r="K22" i="43"/>
  <c r="L22" i="43" s="1"/>
  <c r="J22" i="43"/>
  <c r="J18" i="43"/>
  <c r="M10" i="62"/>
  <c r="O10" i="62" s="1"/>
  <c r="AA6" i="72" s="1"/>
  <c r="F23" i="37"/>
  <c r="D15" i="43" s="1"/>
  <c r="E15" i="43" s="1"/>
  <c r="AK33" i="37"/>
  <c r="D23" i="37"/>
  <c r="D13" i="43" s="1"/>
  <c r="E13" i="43" s="1"/>
  <c r="AE33" i="37"/>
  <c r="AL22" i="37"/>
  <c r="H23" i="37"/>
  <c r="D17" i="43" s="1"/>
  <c r="F17" i="43" s="1"/>
  <c r="G17" i="43" s="1"/>
  <c r="AF22" i="37"/>
  <c r="AG33" i="37"/>
  <c r="AC22" i="37"/>
  <c r="AH33" i="37"/>
  <c r="J23" i="37"/>
  <c r="D19" i="43" s="1"/>
  <c r="F19" i="43" s="1"/>
  <c r="G19" i="43" s="1"/>
  <c r="AH22" i="37"/>
  <c r="AN33" i="37"/>
  <c r="AE22" i="37"/>
  <c r="AI33" i="37"/>
  <c r="AD33" i="37"/>
  <c r="AD22" i="37"/>
  <c r="AM33" i="37"/>
  <c r="G23" i="37"/>
  <c r="D16" i="43" s="1"/>
  <c r="E16" i="43" s="1"/>
  <c r="AG22" i="37"/>
  <c r="AC33" i="37"/>
  <c r="AB22" i="37"/>
  <c r="AJ22" i="37"/>
  <c r="I23" i="37"/>
  <c r="D18" i="43" s="1"/>
  <c r="F18" i="43" s="1"/>
  <c r="G18" i="43" s="1"/>
  <c r="K13" i="43"/>
  <c r="L13" i="43" s="1"/>
  <c r="J13" i="43"/>
  <c r="K21" i="43"/>
  <c r="L21" i="43" s="1"/>
  <c r="J21" i="43"/>
  <c r="J15" i="43"/>
  <c r="K15" i="43"/>
  <c r="L15" i="43" s="1"/>
  <c r="J17" i="43"/>
  <c r="K17" i="43"/>
  <c r="L17" i="43" s="1"/>
  <c r="AL33" i="37"/>
  <c r="K18" i="43"/>
  <c r="L18" i="43" s="1"/>
  <c r="J20" i="43"/>
  <c r="K20" i="43"/>
  <c r="L20" i="43" s="1"/>
  <c r="J16" i="43"/>
  <c r="K16" i="43"/>
  <c r="L16" i="43" s="1"/>
  <c r="AA22" i="37"/>
  <c r="AI22" i="37"/>
  <c r="AK22" i="37"/>
  <c r="C23" i="37"/>
  <c r="D12" i="43" s="1"/>
  <c r="K12" i="43"/>
  <c r="L12" i="43" s="1"/>
  <c r="J12" i="43"/>
  <c r="J19" i="43"/>
  <c r="K19" i="43"/>
  <c r="L19" i="43" s="1"/>
  <c r="E23" i="37"/>
  <c r="D14" i="43" s="1"/>
  <c r="AJ33" i="37"/>
  <c r="AF33" i="37"/>
  <c r="J14" i="43"/>
  <c r="K14" i="43"/>
  <c r="L14" i="43" s="1"/>
  <c r="L7" i="36"/>
  <c r="N9" i="62" s="1"/>
  <c r="M9" i="62"/>
  <c r="M13" i="62"/>
  <c r="L10" i="36"/>
  <c r="N13" i="62" s="1"/>
  <c r="I11" i="36"/>
  <c r="K11" i="36"/>
  <c r="J11" i="36"/>
  <c r="M11" i="62"/>
  <c r="L9" i="36"/>
  <c r="N11" i="62" s="1"/>
  <c r="M8" i="62"/>
  <c r="L6" i="36"/>
  <c r="N8" i="62" s="1"/>
  <c r="E22" i="43" l="1"/>
  <c r="D21" i="43"/>
  <c r="E21" i="43" s="1"/>
  <c r="E17" i="43"/>
  <c r="F15" i="43"/>
  <c r="G15" i="43" s="1"/>
  <c r="F13" i="43"/>
  <c r="G13" i="43" s="1"/>
  <c r="E18" i="43"/>
  <c r="F16" i="43"/>
  <c r="G16" i="43" s="1"/>
  <c r="E19" i="43"/>
  <c r="E20" i="43"/>
  <c r="E14" i="43"/>
  <c r="F14" i="43"/>
  <c r="G14" i="43" s="1"/>
  <c r="E12" i="43"/>
  <c r="F12" i="43"/>
  <c r="G12" i="43" s="1"/>
  <c r="O11" i="62"/>
  <c r="AA9" i="72" s="1"/>
  <c r="O13" i="62"/>
  <c r="AA12" i="72" s="1"/>
  <c r="O9" i="62"/>
  <c r="AA4" i="72" s="1"/>
  <c r="O8" i="62"/>
  <c r="AA3" i="72" s="1"/>
  <c r="M14" i="62"/>
  <c r="L11" i="36"/>
  <c r="N14" i="62" s="1"/>
  <c r="F21" i="43" l="1"/>
  <c r="G21" i="43" s="1"/>
  <c r="O14" i="62"/>
</calcChain>
</file>

<file path=xl/comments1.xml><?xml version="1.0" encoding="utf-8"?>
<comments xmlns="http://schemas.openxmlformats.org/spreadsheetml/2006/main">
  <authors>
    <author>Tin Moe Htwe</author>
  </authors>
  <commentList>
    <comment ref="J19" authorId="0" shapeId="0">
      <text>
        <r>
          <rPr>
            <sz val="9"/>
            <color indexed="81"/>
            <rFont val="Tahoma"/>
            <family val="2"/>
          </rPr>
          <t xml:space="preserve">Shelter: Fire destroyed 6 LH in Nov, 2017. RSG plan to build 50 IH after fire incident.
</t>
        </r>
      </text>
    </comment>
    <comment ref="J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<sst xmlns="http://schemas.openxmlformats.org/spreadsheetml/2006/main" count="11073" uniqueCount="1168">
  <si>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</si>
  <si>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</si>
  <si>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</si>
  <si>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</si>
  <si>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</si>
  <si>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</si>
  <si>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</si>
  <si>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</si>
  <si>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</si>
  <si>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</si>
  <si>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</si>
  <si>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</si>
  <si>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</si>
  <si>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</si>
  <si>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</si>
  <si>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</si>
  <si>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</si>
  <si>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</si>
  <si>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</si>
  <si>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</si>
  <si>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</si>
  <si>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</si>
  <si>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</si>
  <si>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</si>
  <si>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</si>
  <si>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</si>
  <si>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</si>
  <si>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</si>
  <si>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</si>
  <si>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</si>
  <si>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</si>
  <si>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</si>
  <si>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</si>
  <si>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</si>
  <si>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</si>
  <si>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</si>
  <si>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</si>
  <si>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</si>
  <si>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</si>
  <si>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</si>
  <si>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</si>
  <si>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</si>
  <si>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</si>
  <si>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</si>
  <si>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</si>
  <si>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</si>
  <si>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</si>
  <si>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</si>
  <si>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</si>
  <si>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</si>
  <si>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</si>
  <si>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</si>
  <si>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</si>
  <si>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</si>
  <si>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</si>
  <si>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</si>
  <si>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</si>
  <si>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</si>
  <si>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</si>
  <si>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</si>
  <si>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</si>
  <si>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</si>
  <si>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</si>
  <si>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</si>
  <si>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</si>
  <si>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</si>
  <si>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</si>
  <si>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</si>
  <si>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</si>
  <si>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</si>
  <si>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</si>
  <si>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</si>
  <si>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</si>
  <si>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</si>
  <si>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</si>
  <si>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</si>
  <si>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</si>
  <si>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</si>
  <si>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</si>
  <si>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</si>
  <si>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</si>
  <si>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</si>
  <si>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</si>
  <si>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</si>
  <si>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</si>
  <si>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</si>
  <si>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</si>
  <si>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</si>
  <si>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</si>
  <si>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</si>
  <si>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</si>
  <si>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</si>
  <si>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</si>
  <si>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</si>
  <si>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</si>
  <si>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</si>
  <si>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</si>
  <si>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</si>
  <si>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</si>
  <si>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</si>
  <si>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</si>
  <si>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</si>
  <si>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</si>
  <si>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</si>
  <si>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</si>
  <si>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</si>
  <si>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</si>
  <si>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</si>
  <si>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</si>
  <si>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</si>
  <si>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</si>
  <si>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</si>
  <si>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</si>
  <si>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</si>
  <si>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</si>
  <si>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</si>
  <si>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</si>
  <si>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</si>
  <si>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</si>
  <si>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</si>
  <si>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</si>
  <si>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</si>
  <si>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</si>
  <si>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</si>
  <si>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</si>
  <si>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</si>
  <si>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</si>
  <si>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</si>
  <si>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</si>
  <si>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</si>
  <si>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</si>
  <si>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</si>
  <si>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</si>
  <si>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</si>
  <si>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</si>
  <si>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</si>
  <si>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</si>
  <si>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</si>
  <si>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</si>
  <si>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</si>
  <si>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</si>
  <si>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</si>
  <si>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</si>
  <si>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</si>
  <si>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</si>
  <si>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</si>
  <si>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</si>
  <si>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</si>
  <si>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</si>
  <si>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</si>
  <si>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</si>
  <si>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</si>
  <si>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</si>
  <si>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</si>
  <si>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</si>
  <si>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</si>
  <si>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</si>
  <si>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</si>
  <si>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</si>
  <si>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</si>
  <si>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</si>
  <si>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</si>
  <si>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</si>
  <si>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</si>
  <si>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</si>
  <si>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</si>
  <si>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</si>
  <si>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</si>
  <si>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</si>
  <si>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</si>
  <si>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</si>
  <si>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</si>
  <si>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</si>
  <si>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</si>
  <si>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</si>
  <si>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</si>
  <si>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</si>
  <si>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</si>
  <si>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</si>
  <si>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</si>
  <si>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</si>
  <si>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</si>
  <si>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</si>
  <si>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</si>
  <si>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</si>
  <si>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</si>
  <si>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</si>
  <si>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</si>
  <si>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</si>
  <si>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</si>
  <si>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</si>
  <si>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</si>
  <si>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</si>
  <si>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</si>
  <si>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</si>
  <si>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</si>
  <si>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</si>
  <si>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</si>
  <si>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</si>
  <si>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</si>
  <si>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</si>
  <si>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</si>
  <si>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</si>
  <si>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</si>
  <si>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</si>
  <si>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</si>
  <si>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</si>
  <si>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</si>
  <si>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</si>
  <si>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</si>
  <si>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</si>
  <si>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</si>
  <si>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</si>
  <si>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</si>
  <si>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</si>
  <si>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</si>
  <si>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</si>
  <si>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</si>
  <si>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</si>
  <si>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</si>
  <si>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</si>
  <si>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</si>
  <si>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</si>
  <si>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</si>
  <si>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</si>
  <si>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</si>
  <si>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</si>
  <si>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</si>
  <si>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</si>
  <si>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</si>
  <si>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</si>
  <si>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</si>
  <si>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</si>
  <si>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</si>
  <si>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</si>
  <si>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</si>
  <si>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</si>
  <si>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</si>
  <si>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</si>
  <si>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</si>
  <si>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</si>
  <si>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</si>
  <si>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</si>
  <si>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</si>
  <si>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</si>
  <si>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</si>
  <si>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</si>
  <si>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</si>
  <si>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</si>
  <si>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</si>
  <si>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</si>
  <si>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</si>
  <si>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</si>
  <si>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</si>
  <si>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</si>
  <si>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</si>
  <si>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</si>
  <si>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</si>
  <si>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</si>
  <si>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</si>
  <si>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</si>
  <si>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</si>
  <si>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</si>
  <si>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</si>
  <si>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</si>
  <si>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</si>
  <si>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</si>
  <si>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</si>
  <si>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</si>
  <si>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</si>
  <si>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</si>
  <si>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</si>
  <si>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</si>
  <si>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</si>
  <si>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</si>
  <si>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</si>
  <si>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</si>
  <si>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</si>
  <si>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</si>
  <si>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</si>
  <si>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</si>
  <si>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</si>
  <si>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</si>
  <si>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</si>
  <si>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</si>
  <si>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</si>
  <si>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</si>
  <si>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</si>
  <si>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</si>
  <si>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</si>
  <si>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</si>
  <si>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</si>
  <si>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</si>
  <si>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</si>
  <si>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</si>
  <si>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</si>
  <si>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</si>
  <si>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</si>
  <si>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</si>
  <si>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</si>
  <si>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</si>
  <si>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</si>
  <si>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</si>
  <si>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</si>
  <si>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</si>
  <si>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</si>
  <si>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</si>
  <si>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</si>
  <si>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</si>
  <si>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</si>
  <si>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</si>
  <si>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</si>
  <si>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</si>
  <si>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</si>
  <si>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</si>
  <si>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</si>
  <si>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</si>
  <si>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</si>
  <si>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</si>
  <si>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</si>
  <si>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</si>
  <si>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</si>
  <si>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</si>
  <si>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</si>
  <si>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</si>
  <si>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</si>
  <si>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</si>
  <si>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</si>
  <si>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</si>
  <si>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</si>
  <si>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</si>
  <si>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</si>
  <si>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</si>
  <si>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</si>
  <si>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</si>
  <si>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</si>
  <si>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</si>
  <si>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</si>
  <si>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</si>
  <si>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</si>
  <si>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</si>
  <si>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</si>
  <si>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</si>
  <si>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</si>
  <si>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</si>
  <si>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</si>
  <si>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</si>
  <si>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</si>
  <si>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</si>
  <si>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</si>
  <si>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</si>
  <si>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</si>
  <si>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</si>
  <si>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</si>
  <si>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</si>
  <si>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</si>
  <si>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</si>
  <si>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</si>
  <si>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</si>
  <si>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</si>
  <si>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</si>
  <si>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</si>
  <si>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</si>
  <si>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</si>
  <si>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</si>
  <si>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</si>
  <si>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</si>
  <si>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</si>
  <si>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</si>
  <si>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</si>
  <si>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</si>
  <si>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</si>
  <si>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</si>
  <si>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</si>
  <si>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</si>
  <si>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</si>
  <si>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</si>
  <si>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</si>
  <si>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</si>
  <si>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</si>
  <si>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</si>
  <si>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</si>
  <si>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</si>
  <si>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</si>
  <si>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</si>
  <si>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</si>
  <si>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</si>
  <si>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</si>
  <si>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</si>
  <si>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</si>
  <si>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</si>
  <si>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</si>
  <si>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</si>
  <si>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</si>
  <si>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</si>
  <si>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</si>
  <si>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</si>
  <si>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</si>
  <si>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</si>
  <si>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</si>
  <si>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</si>
  <si>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</si>
  <si>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</si>
  <si>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</si>
  <si>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</si>
  <si>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</si>
  <si>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</si>
  <si>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</si>
  <si>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</si>
  <si>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</si>
  <si>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</si>
  <si>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</si>
  <si>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</si>
  <si>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</si>
  <si>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</si>
  <si>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</si>
  <si>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</si>
  <si>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</si>
  <si>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</si>
  <si>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</si>
  <si>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</si>
  <si>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</si>
  <si>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</si>
  <si>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</si>
  <si>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</si>
  <si>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</si>
  <si>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</si>
  <si>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</si>
  <si>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</si>
  <si>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</si>
  <si>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</si>
  <si>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</si>
  <si>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</si>
  <si>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</si>
  <si>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</si>
  <si>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</si>
  <si>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</si>
  <si>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</si>
  <si>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</si>
  <si>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</si>
  <si>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</si>
  <si>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</si>
  <si>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</si>
  <si>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</si>
  <si>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</si>
  <si>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</si>
  <si>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</si>
  <si>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</si>
  <si>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</si>
  <si>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</si>
  <si>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</si>
  <si>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</si>
  <si>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</si>
  <si>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</si>
  <si>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</si>
  <si>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</si>
  <si>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</si>
  <si>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</si>
  <si>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</si>
  <si>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</si>
  <si>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</si>
  <si>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</si>
  <si>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</si>
  <si>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</si>
  <si>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</si>
  <si>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</si>
  <si>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</si>
  <si>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</si>
  <si>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</si>
  <si>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</si>
  <si>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</si>
  <si>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</si>
  <si>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</si>
  <si>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</si>
  <si>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</si>
  <si>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</si>
  <si>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</si>
  <si>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</si>
  <si>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</si>
  <si>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</si>
  <si>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</si>
  <si>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</si>
  <si>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</si>
  <si>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</si>
  <si>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</si>
  <si>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</si>
  <si>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</si>
  <si>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</si>
  <si>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</si>
  <si>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</si>
  <si>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</si>
  <si>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</si>
  <si>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</si>
  <si>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</si>
  <si>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</si>
  <si>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</si>
  <si>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</si>
  <si>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</si>
  <si>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</si>
  <si>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</si>
  <si>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</si>
  <si>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</si>
  <si>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</si>
  <si>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</si>
  <si>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</si>
  <si>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</si>
  <si>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</si>
  <si>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</si>
  <si>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</si>
  <si>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</si>
  <si>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</si>
  <si>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</si>
  <si>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</si>
  <si>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</si>
  <si>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</si>
  <si>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</si>
  <si>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</si>
  <si>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</si>
  <si>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</si>
  <si>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</si>
  <si>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</si>
  <si>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</si>
  <si>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</si>
  <si>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</si>
  <si>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</si>
  <si>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</si>
  <si>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</si>
  <si>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</si>
  <si>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</si>
  <si>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</si>
  <si>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</si>
  <si>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</si>
  <si>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</si>
  <si>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</si>
  <si>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</si>
  <si>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</si>
  <si>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</si>
  <si>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</si>
  <si>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</si>
  <si>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</si>
  <si>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</si>
  <si>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</si>
  <si>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</si>
  <si>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</si>
  <si>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</si>
  <si>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</si>
  <si>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</si>
  <si>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</si>
  <si>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</si>
  <si>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</si>
  <si>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</si>
  <si>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</si>
  <si>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</si>
  <si>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</si>
  <si>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</si>
  <si>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</si>
  <si>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</si>
  <si>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</si>
  <si>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</si>
  <si>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</si>
  <si>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</si>
  <si>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</si>
  <si>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</si>
  <si>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</si>
  <si>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</si>
  <si>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</si>
  <si>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</si>
  <si>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</si>
  <si>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</si>
  <si>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</si>
  <si>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</si>
  <si>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</si>
  <si>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</si>
  <si>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</si>
  <si>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</si>
  <si>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</si>
  <si>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</si>
  <si>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</si>
  <si>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</si>
  <si>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</si>
  <si>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</si>
  <si>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</si>
  <si>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</si>
  <si>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</si>
  <si>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</si>
  <si>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</si>
  <si>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</si>
  <si>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</si>
  <si>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</si>
  <si>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</si>
  <si>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</si>
  <si>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</si>
  <si>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</si>
  <si>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</si>
  <si>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</si>
  <si>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</si>
  <si>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</si>
  <si>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</si>
  <si>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</si>
  <si>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</si>
  <si>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</si>
  <si>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</si>
  <si>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</si>
  <si>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</si>
  <si>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</si>
  <si>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</si>
  <si>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</si>
  <si>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</si>
  <si>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</si>
  <si>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</si>
  <si>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</si>
  <si>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</si>
  <si>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</si>
  <si>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</si>
  <si>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</si>
  <si>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</si>
  <si>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</si>
  <si>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</si>
  <si>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</si>
  <si>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</si>
  <si>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</si>
  <si>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</si>
  <si>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</si>
  <si>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</si>
  <si>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</si>
  <si>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</si>
  <si>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</si>
  <si>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</si>
  <si>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</si>
  <si>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</si>
  <si>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</si>
  <si>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</si>
  <si>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</si>
  <si>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</si>
  <si>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</si>
  <si>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</si>
  <si>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</si>
  <si>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</si>
  <si>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</si>
  <si>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</si>
  <si>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</si>
  <si>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</si>
  <si>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</si>
  <si>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</si>
  <si>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</si>
  <si>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</si>
  <si>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</si>
  <si>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</si>
  <si>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</si>
  <si>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</si>
  <si>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</si>
  <si>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</si>
  <si>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</si>
  <si>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</si>
  <si>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</si>
  <si>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</si>
  <si>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</si>
  <si>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</si>
  <si>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</si>
  <si>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</si>
  <si>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</si>
  <si>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</si>
  <si>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</si>
  <si>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</si>
  <si>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</si>
  <si>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</si>
  <si>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</si>
  <si>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</si>
  <si>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</si>
  <si>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</si>
  <si>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</si>
  <si>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</si>
  <si>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</si>
  <si>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</si>
  <si>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</si>
  <si>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</si>
  <si>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</si>
  <si>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</si>
  <si>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</si>
  <si>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</si>
  <si>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</si>
  <si>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</si>
  <si>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</si>
  <si>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</si>
  <si>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</si>
  <si>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</si>
  <si>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</si>
  <si>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</si>
  <si>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</si>
  <si>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</si>
  <si>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</si>
  <si>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</si>
  <si>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</si>
  <si>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</si>
  <si>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</si>
  <si>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</si>
  <si>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</si>
  <si>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</si>
  <si>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</si>
  <si>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</si>
  <si>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</si>
  <si>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</si>
  <si>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</si>
  <si>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</si>
  <si>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</si>
  <si>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</si>
  <si>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</si>
  <si>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</si>
  <si>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</si>
  <si>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</si>
  <si>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</si>
  <si>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</si>
  <si>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</si>
  <si>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</si>
  <si>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</si>
  <si>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</si>
  <si>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</si>
  <si>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</si>
  <si>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</si>
  <si>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</si>
  <si>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</si>
  <si>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</si>
  <si>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</si>
  <si>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</si>
  <si>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</si>
  <si>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</si>
  <si>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</si>
  <si>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</si>
  <si>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</si>
  <si>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</si>
  <si>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</si>
  <si>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</si>
  <si>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</si>
  <si>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</si>
  <si>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</si>
  <si>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</si>
  <si>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</si>
  <si>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</si>
  <si>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</si>
  <si>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</si>
  <si>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</si>
  <si>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</si>
  <si>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</si>
  <si>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</si>
  <si>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</si>
  <si>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</si>
  <si>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</si>
  <si>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</si>
  <si>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</si>
  <si>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</si>
  <si>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</si>
  <si>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</si>
  <si>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</si>
  <si>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</si>
  <si>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</si>
  <si>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</si>
  <si>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</si>
  <si>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</si>
  <si>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</si>
  <si>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</si>
  <si>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</si>
  <si>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</si>
  <si>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</si>
  <si>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</si>
  <si>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</si>
  <si>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</si>
  <si>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</si>
  <si>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</si>
  <si>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</si>
  <si>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</si>
  <si>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</si>
  <si>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</si>
  <si>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</si>
  <si>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</si>
  <si>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</si>
  <si>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</si>
  <si>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</si>
  <si>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</si>
  <si>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</si>
  <si>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</si>
  <si>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</si>
  <si>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</si>
  <si>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</si>
  <si>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</si>
  <si>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</si>
  <si>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</si>
  <si>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</si>
  <si>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</si>
  <si>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</si>
  <si>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</si>
  <si>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</si>
  <si>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</si>
  <si>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</si>
  <si>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</si>
  <si>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</si>
  <si>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</si>
  <si>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</si>
  <si>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</si>
  <si>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</si>
  <si>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</si>
  <si>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</si>
  <si>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</si>
  <si>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</si>
  <si>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</si>
  <si>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</si>
  <si>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</si>
  <si>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</si>
  <si>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</si>
  <si>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</si>
  <si>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</si>
  <si>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</si>
  <si>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</si>
  <si>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</si>
  <si>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</si>
  <si>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</si>
  <si>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</si>
  <si>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</si>
  <si>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</si>
  <si>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</si>
  <si>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</si>
  <si>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</si>
  <si>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</si>
  <si>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</si>
  <si>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</si>
  <si>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</si>
  <si>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</si>
  <si>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</si>
  <si>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</si>
  <si>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</si>
  <si>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</si>
  <si>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</si>
  <si>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</si>
  <si>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</si>
  <si>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</si>
  <si>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</si>
  <si>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</si>
  <si>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</si>
  <si>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</si>
  <si>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</si>
  <si>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</si>
  <si>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</si>
  <si>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</si>
  <si>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</si>
  <si>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</si>
  <si>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</si>
  <si>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</si>
  <si>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</si>
  <si>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</si>
  <si>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</si>
  <si>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</si>
  <si>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</si>
  <si>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</si>
  <si>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</si>
  <si>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</si>
  <si>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</si>
  <si>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</si>
  <si>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</si>
  <si>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</si>
  <si>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</si>
  <si>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</si>
  <si>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</si>
  <si>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</si>
  <si>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</si>
  <si>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</si>
  <si>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</si>
  <si>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</si>
  <si>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</si>
  <si>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</si>
  <si>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</si>
  <si>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</si>
  <si>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</si>
  <si>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</si>
  <si>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</si>
  <si>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</si>
  <si>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</si>
  <si>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</si>
  <si>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</si>
  <si>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</si>
  <si>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</si>
  <si>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</si>
  <si>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</si>
  <si>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</si>
  <si>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</si>
  <si>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</si>
  <si>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</si>
  <si>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</si>
  <si>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</si>
  <si>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</si>
  <si>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</si>
  <si>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</si>
  <si>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</si>
  <si>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</si>
  <si>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</si>
  <si>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</si>
  <si>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</si>
  <si>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</si>
  <si>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</si>
  <si>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</si>
  <si>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</si>
  <si>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</si>
  <si>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</si>
  <si>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</si>
  <si>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</si>
  <si>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</si>
  <si>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</si>
  <si>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</si>
  <si>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</si>
  <si>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</si>
  <si>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</si>
  <si>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</si>
  <si>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</si>
  <si>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</si>
  <si>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</si>
  <si>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</si>
  <si>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</si>
  <si>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</si>
  <si>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</si>
  <si>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</si>
  <si>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</si>
  <si>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</si>
  <si>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</si>
  <si>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</si>
  <si>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</si>
  <si>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</si>
  <si>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</si>
  <si>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</si>
  <si>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</si>
  <si>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</si>
  <si>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</si>
  <si>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</si>
  <si>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</si>
  <si>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</si>
  <si>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</si>
  <si>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</si>
  <si>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</si>
  <si>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</si>
  <si>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</si>
  <si>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</si>
  <si>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</si>
  <si>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</si>
  <si>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</si>
  <si>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</si>
  <si>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</si>
  <si>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</si>
  <si>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</si>
  <si>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</si>
  <si>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</si>
  <si>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</si>
  <si>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</si>
  <si>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</si>
  <si>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</si>
  <si>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</si>
  <si>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</si>
  <si>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</si>
  <si>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</si>
  <si>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</si>
  <si>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</si>
  <si>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</si>
  <si>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</si>
  <si>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</si>
  <si>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</si>
  <si>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</si>
  <si>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</si>
  <si>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</si>
  <si>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</si>
  <si>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</si>
  <si>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</si>
  <si>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</si>
  <si>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</si>
  <si>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</si>
  <si>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</si>
  <si>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</si>
  <si>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</si>
  <si>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</si>
  <si>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</si>
  <si>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</si>
  <si>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</si>
  <si>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</si>
  <si>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</si>
  <si>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</si>
  <si>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</si>
  <si>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</si>
  <si>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</si>
  <si>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</si>
  <si>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</si>
  <si>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</si>
  <si>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</si>
  <si>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</si>
  <si>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</si>
  <si>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</si>
  <si>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</si>
  <si>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</si>
  <si>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</si>
  <si>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</si>
  <si>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</si>
  <si>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</si>
  <si>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</si>
  <si>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</si>
  <si>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</si>
  <si>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</si>
  <si>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</si>
  <si>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</si>
  <si>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</si>
  <si>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</si>
  <si>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</si>
  <si>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</si>
  <si>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</si>
  <si>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</si>
  <si>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</si>
  <si>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</si>
  <si>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</si>
  <si>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</si>
  <si>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</si>
  <si>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</si>
  <si>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</si>
  <si>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</si>
  <si>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</si>
  <si>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</si>
  <si>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</si>
  <si>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</si>
  <si>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</si>
  <si>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</si>
  <si>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</si>
  <si>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</si>
  <si>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</si>
  <si>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</si>
  <si>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</si>
  <si>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</si>
  <si>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</si>
  <si>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</si>
  <si>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</si>
  <si>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</si>
  <si>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</si>
  <si>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</si>
  <si>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</si>
  <si>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</si>
  <si>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</si>
  <si>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</si>
  <si>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</si>
  <si>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</si>
  <si>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</si>
  <si>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</si>
  <si>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</si>
  <si>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</si>
  <si>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</si>
  <si>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</si>
  <si>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</si>
  <si>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</si>
  <si>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</si>
  <si>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</si>
  <si>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</si>
  <si>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</si>
  <si>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</si>
  <si>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</si>
  <si>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</si>
  <si>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</si>
  <si>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</si>
  <si>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</si>
  <si>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</si>
  <si>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</si>
  <si>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</si>
  <si>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</si>
  <si>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</si>
  <si>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</si>
  <si>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</si>
  <si>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</si>
  <si>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</si>
  <si>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</si>
  <si>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</si>
  <si>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</si>
  <si>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</si>
  <si>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</si>
  <si>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</si>
  <si>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</si>
  <si>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</si>
  <si>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</si>
  <si>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</si>
  <si>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</si>
  <si>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</si>
  <si>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</si>
  <si>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</si>
  <si>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</si>
  <si>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</si>
  <si>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</si>
  <si>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</si>
  <si>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</si>
  <si>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</si>
  <si>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</si>
  <si>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</si>
  <si>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</si>
  <si>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</si>
  <si>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</si>
  <si>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</si>
  <si>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</si>
  <si>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</si>
  <si>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</si>
  <si>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</si>
  <si>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</si>
  <si>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</si>
  <si>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</si>
  <si>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</si>
  <si>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</si>
  <si>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</si>
  <si>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</si>
  <si>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</si>
  <si>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</si>
  <si>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</si>
  <si>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</si>
  <si>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</si>
  <si>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</si>
  <si>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</si>
  <si>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</si>
  <si>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</si>
  <si>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</si>
  <si>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</si>
  <si>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</si>
  <si>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</si>
  <si>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</si>
  <si>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</si>
  <si>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</si>
  <si>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</si>
  <si>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</si>
  <si>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</si>
  <si>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</si>
  <si>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</si>
  <si>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</si>
  <si>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</si>
  <si>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</si>
  <si>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</si>
  <si>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</si>
  <si>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</si>
  <si>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</si>
  <si>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</si>
  <si>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</si>
  <si>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</si>
  <si>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Distributed to Disable person , one person per HH</t>
  </si>
  <si>
    <t>Male</t>
  </si>
  <si>
    <t>Female</t>
  </si>
  <si>
    <t>Temporary Shelter in 
IDP Camps
in 2018</t>
  </si>
  <si>
    <t xml:space="preserve"> IDP coverage</t>
  </si>
  <si>
    <t>MEA</t>
  </si>
  <si>
    <t>Thet Kae Pyin</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</si>
  <si>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</si>
  <si>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</si>
  <si>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</si>
  <si>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</si>
  <si>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</si>
  <si>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</si>
  <si>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</si>
  <si>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</si>
  <si>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</si>
  <si>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Year</t>
  </si>
  <si>
    <t>Ohn Taw Gyi ( South)</t>
  </si>
  <si>
    <t>Partner</t>
  </si>
  <si>
    <t xml:space="preserve"> Temporary Reconstructed, Maintenanced and Repaired in 2017 and 2018 by Agency</t>
  </si>
  <si>
    <t>Reconstructed, Maintenanced and Repaired in 2017 and 2018</t>
  </si>
  <si>
    <t># NFI Distributed Items in 12 Months by Organization</t>
  </si>
  <si>
    <t xml:space="preserve">Szilvia Heszler, Camp Management Project Manager
Sittwe, Myanmar
szilvia.heszler@nrc.no , Phone: + 95 (0) 9441612937
</t>
  </si>
  <si>
    <t xml:space="preserve">Szilvia Heszler, Camp Management Project Manager
szilvia.heszler@nrc.no , Phone: + 95 (0) 9441612937
</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</si>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</sst>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3"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theme="4" tint="0.39997558519241921"/>
      </bottom>
      <diagonal/>
    </border>
    <border>
      <left/>
      <right/>
      <top style="thin">
        <color theme="9" tint="-0.249977111117893"/>
      </top>
      <bottom style="medium">
        <color theme="9" tint="-0.249977111117893"/>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56">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165" fontId="0" fillId="0" borderId="29" xfId="0" applyNumberFormat="1" applyBorder="1"/>
    <xf numFmtId="165" fontId="0" fillId="0" borderId="16" xfId="0" applyNumberFormat="1" applyBorder="1"/>
    <xf numFmtId="165" fontId="0" fillId="0" borderId="23" xfId="0" applyNumberFormat="1" applyBorder="1"/>
    <xf numFmtId="0" fontId="0" fillId="0" borderId="5" xfId="0" applyBorder="1" applyAlignment="1">
      <alignment horizontal="left"/>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0" borderId="21" xfId="0" applyNumberFormat="1" applyFill="1" applyBorder="1"/>
    <xf numFmtId="0" fontId="0" fillId="10" borderId="0" xfId="0" applyNumberFormat="1" applyFill="1" applyBorder="1"/>
    <xf numFmtId="0" fontId="0" fillId="37" borderId="3" xfId="0" applyFill="1" applyBorder="1"/>
    <xf numFmtId="0" fontId="0" fillId="0" borderId="21" xfId="0" applyNumberFormat="1" applyFont="1" applyFill="1" applyBorder="1"/>
    <xf numFmtId="3" fontId="4" fillId="0" borderId="1" xfId="0" applyNumberFormat="1" applyFont="1" applyBorder="1" applyAlignment="1">
      <alignment horizontal="center" vertical="center"/>
    </xf>
    <xf numFmtId="0" fontId="44" fillId="0" borderId="0" xfId="0" applyFont="1" applyBorder="1" applyAlignment="1">
      <alignment horizontal="center" vertical="center"/>
    </xf>
    <xf numFmtId="0" fontId="44" fillId="0" borderId="0" xfId="0" applyFont="1" applyBorder="1" applyAlignment="1">
      <alignment vertical="center"/>
    </xf>
    <xf numFmtId="3" fontId="44"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4"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5" fillId="0" borderId="5" xfId="5" quotePrefix="1" applyFont="1" applyBorder="1" applyAlignment="1">
      <alignment horizontal="right"/>
    </xf>
    <xf numFmtId="165" fontId="75" fillId="0" borderId="5" xfId="7" quotePrefix="1" applyNumberFormat="1" applyFont="1" applyBorder="1" applyAlignment="1">
      <alignment horizontal="right"/>
    </xf>
    <xf numFmtId="0" fontId="76" fillId="0" borderId="1" xfId="0" quotePrefix="1" applyFont="1" applyFill="1" applyBorder="1" applyAlignment="1">
      <alignment horizontal="center" wrapText="1"/>
    </xf>
    <xf numFmtId="1" fontId="76"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15" fontId="38" fillId="46" borderId="34" xfId="6" applyNumberFormat="1" applyFont="1" applyFill="1" applyBorder="1" applyAlignment="1">
      <alignment vertical="center"/>
    </xf>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7"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8"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9"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0"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4"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4" fillId="16" borderId="16" xfId="0" applyFont="1" applyFill="1" applyBorder="1" applyAlignment="1">
      <alignment horizontal="center" vertical="center"/>
    </xf>
    <xf numFmtId="0" fontId="44" fillId="16" borderId="16" xfId="0" applyFont="1" applyFill="1" applyBorder="1" applyAlignment="1">
      <alignment vertical="center"/>
    </xf>
    <xf numFmtId="3" fontId="44"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5" fillId="16" borderId="17" xfId="0" applyFont="1" applyFill="1" applyBorder="1" applyAlignment="1">
      <alignment horizontal="center" vertical="center" wrapText="1"/>
    </xf>
    <xf numFmtId="0" fontId="35" fillId="16" borderId="23"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2" fillId="0" borderId="1" xfId="10" applyNumberFormat="1" applyFont="1" applyFill="1" applyBorder="1" applyAlignment="1">
      <alignment horizontal="left"/>
    </xf>
    <xf numFmtId="165" fontId="83" fillId="0" borderId="1" xfId="10" applyNumberFormat="1" applyFont="1" applyBorder="1"/>
    <xf numFmtId="9" fontId="83" fillId="17" borderId="1" xfId="8" applyFont="1" applyFill="1" applyBorder="1"/>
    <xf numFmtId="165" fontId="83" fillId="0" borderId="1" xfId="10" applyNumberFormat="1" applyFont="1" applyFill="1" applyBorder="1"/>
    <xf numFmtId="165" fontId="83" fillId="23" borderId="1" xfId="7" applyNumberFormat="1" applyFont="1" applyFill="1" applyBorder="1"/>
    <xf numFmtId="9" fontId="83" fillId="29" borderId="1" xfId="8" applyFont="1" applyFill="1" applyBorder="1"/>
    <xf numFmtId="165" fontId="83" fillId="0" borderId="1" xfId="8" applyNumberFormat="1" applyFont="1" applyFill="1" applyBorder="1"/>
    <xf numFmtId="3" fontId="83" fillId="23" borderId="1" xfId="7" applyNumberFormat="1" applyFont="1" applyFill="1" applyBorder="1"/>
    <xf numFmtId="165" fontId="83" fillId="0" borderId="5" xfId="10" applyNumberFormat="1" applyFont="1" applyBorder="1"/>
    <xf numFmtId="0" fontId="84" fillId="29" borderId="9" xfId="0" applyFont="1" applyFill="1" applyBorder="1" applyAlignment="1">
      <alignment horizontal="center" vertical="center" wrapText="1"/>
    </xf>
    <xf numFmtId="16" fontId="84" fillId="35" borderId="9" xfId="0" quotePrefix="1" applyNumberFormat="1" applyFont="1" applyFill="1" applyBorder="1" applyAlignment="1">
      <alignment horizontal="center" vertical="center" wrapText="1"/>
    </xf>
    <xf numFmtId="0" fontId="84" fillId="31" borderId="9" xfId="0" quotePrefix="1" applyFont="1" applyFill="1" applyBorder="1" applyAlignment="1">
      <alignment horizontal="center" vertical="center" wrapText="1"/>
    </xf>
    <xf numFmtId="0" fontId="84" fillId="30" borderId="9" xfId="0" applyFont="1" applyFill="1" applyBorder="1" applyAlignment="1">
      <alignment horizontal="center" vertical="center" wrapText="1"/>
    </xf>
    <xf numFmtId="0" fontId="76" fillId="13" borderId="1" xfId="0" applyFont="1" applyFill="1" applyBorder="1" applyAlignment="1"/>
    <xf numFmtId="3" fontId="85" fillId="10" borderId="1" xfId="0" applyNumberFormat="1" applyFont="1" applyFill="1" applyBorder="1" applyAlignment="1">
      <alignment horizontal="center"/>
    </xf>
    <xf numFmtId="0" fontId="76" fillId="10" borderId="0" xfId="0" applyFont="1" applyFill="1" applyBorder="1"/>
    <xf numFmtId="0" fontId="76" fillId="10" borderId="0" xfId="0" applyFont="1" applyFill="1" applyBorder="1" applyAlignment="1">
      <alignment horizontal="center"/>
    </xf>
    <xf numFmtId="0" fontId="81" fillId="0" borderId="15" xfId="0" applyFont="1" applyFill="1" applyBorder="1" applyAlignment="1">
      <alignment horizontal="center" vertical="center" wrapText="1"/>
    </xf>
    <xf numFmtId="0" fontId="81" fillId="0" borderId="8" xfId="0" applyFont="1" applyFill="1" applyBorder="1" applyAlignment="1">
      <alignment horizontal="center" vertical="center" wrapText="1"/>
    </xf>
    <xf numFmtId="0" fontId="81" fillId="0" borderId="21" xfId="0" applyFont="1" applyFill="1" applyBorder="1" applyAlignment="1">
      <alignment horizontal="center" vertical="top" wrapText="1"/>
    </xf>
    <xf numFmtId="0" fontId="86" fillId="10" borderId="3" xfId="0" applyFont="1" applyFill="1" applyBorder="1"/>
    <xf numFmtId="3" fontId="85" fillId="10" borderId="2" xfId="0" applyNumberFormat="1" applyFont="1" applyFill="1" applyBorder="1" applyAlignment="1">
      <alignment horizontal="center"/>
    </xf>
    <xf numFmtId="0" fontId="87" fillId="10" borderId="23" xfId="0" applyFont="1" applyFill="1" applyBorder="1"/>
    <xf numFmtId="3" fontId="88" fillId="10" borderId="5" xfId="0" applyNumberFormat="1" applyFont="1" applyFill="1" applyBorder="1" applyAlignment="1">
      <alignment horizontal="center"/>
    </xf>
    <xf numFmtId="3" fontId="88" fillId="10" borderId="17" xfId="0" applyNumberFormat="1" applyFont="1" applyFill="1" applyBorder="1" applyAlignment="1">
      <alignment horizontal="center"/>
    </xf>
    <xf numFmtId="0" fontId="47" fillId="47" borderId="17" xfId="0" applyFont="1" applyFill="1" applyBorder="1"/>
    <xf numFmtId="0" fontId="89" fillId="47" borderId="0" xfId="0" applyFont="1" applyFill="1" applyBorder="1" applyAlignment="1">
      <alignment horizontal="center" vertical="center" wrapText="1"/>
    </xf>
    <xf numFmtId="0" fontId="89"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9"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9" fillId="10" borderId="9" xfId="7" applyNumberFormat="1" applyFont="1" applyFill="1" applyBorder="1"/>
    <xf numFmtId="3" fontId="89" fillId="10" borderId="29" xfId="7" applyNumberFormat="1" applyFont="1" applyFill="1" applyBorder="1"/>
    <xf numFmtId="165" fontId="89" fillId="10" borderId="4" xfId="7" applyNumberFormat="1" applyFont="1" applyFill="1" applyBorder="1"/>
    <xf numFmtId="9" fontId="89" fillId="10" borderId="0" xfId="8" applyFont="1" applyFill="1" applyBorder="1" applyAlignment="1">
      <alignment horizontal="right"/>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1" fillId="17" borderId="1" xfId="8" applyFont="1" applyFill="1" applyBorder="1" applyAlignment="1">
      <alignment horizontal="right" vertical="center" wrapText="1"/>
    </xf>
    <xf numFmtId="0" fontId="3" fillId="51" borderId="1" xfId="0" applyFont="1" applyFill="1" applyBorder="1"/>
    <xf numFmtId="0" fontId="92" fillId="0" borderId="1" xfId="0" applyFont="1" applyFill="1" applyBorder="1" applyAlignment="1">
      <alignment vertical="center"/>
    </xf>
    <xf numFmtId="167" fontId="2" fillId="0" borderId="0" xfId="1" applyNumberFormat="1" applyFont="1" applyFill="1" applyBorder="1" applyAlignment="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13" fillId="11" borderId="17" xfId="0" applyFont="1" applyFill="1" applyBorder="1" applyAlignment="1">
      <alignment vertical="center" wrapText="1"/>
    </xf>
    <xf numFmtId="0" fontId="0" fillId="0" borderId="17" xfId="0" applyFont="1" applyBorder="1"/>
    <xf numFmtId="0" fontId="0" fillId="32" borderId="17" xfId="0" applyFont="1" applyFill="1" applyBorder="1"/>
    <xf numFmtId="0" fontId="0" fillId="32" borderId="56" xfId="0" applyFont="1" applyFill="1" applyBorder="1"/>
    <xf numFmtId="0" fontId="0" fillId="0" borderId="0" xfId="0"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2" fillId="0" borderId="5" xfId="10" applyNumberFormat="1" applyFont="1" applyFill="1" applyBorder="1" applyAlignment="1">
      <alignment horizontal="left"/>
    </xf>
    <xf numFmtId="9" fontId="83" fillId="17" borderId="5" xfId="8" applyFont="1" applyFill="1" applyBorder="1"/>
    <xf numFmtId="9" fontId="81" fillId="17" borderId="5" xfId="8" applyFont="1" applyFill="1" applyBorder="1" applyAlignment="1">
      <alignment horizontal="right" vertical="center" wrapText="1"/>
    </xf>
    <xf numFmtId="165" fontId="83" fillId="0" borderId="5" xfId="10" applyNumberFormat="1" applyFont="1" applyFill="1" applyBorder="1"/>
    <xf numFmtId="165" fontId="83" fillId="23" borderId="5" xfId="7" applyNumberFormat="1" applyFont="1" applyFill="1" applyBorder="1"/>
    <xf numFmtId="9" fontId="83" fillId="29" borderId="5" xfId="8" applyFont="1" applyFill="1" applyBorder="1"/>
    <xf numFmtId="165" fontId="83" fillId="0" borderId="5" xfId="8" applyNumberFormat="1" applyFont="1" applyFill="1" applyBorder="1"/>
    <xf numFmtId="0" fontId="82" fillId="0" borderId="3" xfId="0" applyFont="1" applyFill="1" applyBorder="1" applyAlignment="1">
      <alignment horizontal="left"/>
    </xf>
    <xf numFmtId="9" fontId="81"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2" fillId="0" borderId="23" xfId="0" applyFont="1" applyFill="1" applyBorder="1" applyAlignment="1">
      <alignment horizontal="left"/>
    </xf>
    <xf numFmtId="9" fontId="81" fillId="29" borderId="17" xfId="8" applyFont="1" applyFill="1" applyBorder="1"/>
    <xf numFmtId="0" fontId="83"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0" fontId="0" fillId="37" borderId="40" xfId="0" applyFill="1" applyBorder="1"/>
    <xf numFmtId="0" fontId="37" fillId="37" borderId="41" xfId="6" applyFont="1" applyFill="1" applyBorder="1" applyAlignment="1">
      <alignment vertical="center"/>
    </xf>
    <xf numFmtId="0" fontId="24" fillId="37" borderId="41" xfId="0" applyFont="1" applyFill="1" applyBorder="1" applyAlignment="1"/>
    <xf numFmtId="0" fontId="0" fillId="37" borderId="42" xfId="0" applyFill="1" applyBorder="1"/>
    <xf numFmtId="0" fontId="0" fillId="10" borderId="11"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44" fillId="0" borderId="1" xfId="0" applyFont="1" applyBorder="1"/>
    <xf numFmtId="0" fontId="44" fillId="0" borderId="1" xfId="0" applyFont="1" applyFill="1" applyBorder="1"/>
    <xf numFmtId="0" fontId="44" fillId="0" borderId="0" xfId="0" applyFont="1" applyFill="1"/>
    <xf numFmtId="0" fontId="44" fillId="0" borderId="0" xfId="0" applyFont="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67" fillId="54" borderId="1" xfId="0" applyNumberFormat="1" applyFont="1" applyFill="1" applyBorder="1" applyAlignment="1" applyProtection="1">
      <alignment vertical="center"/>
    </xf>
    <xf numFmtId="1" fontId="13" fillId="54" borderId="0" xfId="0" applyNumberFormat="1" applyFont="1" applyFill="1" applyBorder="1" applyAlignment="1" applyProtection="1"/>
    <xf numFmtId="0" fontId="67" fillId="54" borderId="1" xfId="0" applyNumberFormat="1" applyFont="1" applyFill="1" applyBorder="1"/>
    <xf numFmtId="1" fontId="67" fillId="54" borderId="1" xfId="0" applyNumberFormat="1" applyFont="1" applyFill="1" applyBorder="1"/>
    <xf numFmtId="0" fontId="43" fillId="59" borderId="17" xfId="0" applyFont="1" applyFill="1" applyBorder="1" applyAlignment="1">
      <alignment horizontal="center" vertical="center" wrapText="1"/>
    </xf>
    <xf numFmtId="0" fontId="34" fillId="59" borderId="3" xfId="0" applyFont="1" applyFill="1" applyBorder="1"/>
    <xf numFmtId="0" fontId="43" fillId="59" borderId="21" xfId="0" applyFont="1" applyFill="1" applyBorder="1" applyAlignment="1">
      <alignment horizontal="center" vertical="center" wrapText="1"/>
    </xf>
    <xf numFmtId="0" fontId="41" fillId="54" borderId="57" xfId="0" applyNumberFormat="1" applyFont="1" applyFill="1" applyBorder="1" applyAlignment="1"/>
    <xf numFmtId="1" fontId="41" fillId="54" borderId="57" xfId="0" applyNumberFormat="1" applyFont="1" applyFill="1" applyBorder="1" applyAlignment="1"/>
    <xf numFmtId="1" fontId="0" fillId="0" borderId="0" xfId="8" applyNumberFormat="1" applyFont="1" applyFill="1" applyBorder="1" applyAlignment="1">
      <alignment horizontal="right" vertical="top"/>
    </xf>
    <xf numFmtId="165" fontId="0" fillId="0" borderId="0" xfId="7" applyNumberFormat="1" applyFont="1" applyFill="1" applyBorder="1" applyAlignment="1">
      <alignment horizontal="right" vertical="top"/>
    </xf>
    <xf numFmtId="49" fontId="4" fillId="0" borderId="1" xfId="0" applyNumberFormat="1" applyFont="1" applyFill="1" applyBorder="1" applyAlignment="1">
      <alignment horizontal="left" vertical="center"/>
    </xf>
    <xf numFmtId="0" fontId="14" fillId="5" borderId="17" xfId="0" applyNumberFormat="1" applyFont="1" applyFill="1" applyBorder="1" applyAlignment="1">
      <alignment vertical="center" wrapText="1"/>
    </xf>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6" fillId="13" borderId="5" xfId="0" applyFont="1" applyFill="1" applyBorder="1" applyAlignment="1">
      <alignment horizontal="center" vertical="top" wrapText="1"/>
    </xf>
    <xf numFmtId="0" fontId="76" fillId="13" borderId="8" xfId="0" applyFont="1" applyFill="1" applyBorder="1" applyAlignment="1">
      <alignment horizontal="center" vertical="top" wrapText="1"/>
    </xf>
    <xf numFmtId="0" fontId="74" fillId="13" borderId="2" xfId="0" applyFont="1" applyFill="1" applyBorder="1" applyAlignment="1">
      <alignment horizontal="center"/>
    </xf>
    <xf numFmtId="0" fontId="74" fillId="13" borderId="7" xfId="0" applyFont="1" applyFill="1" applyBorder="1" applyAlignment="1">
      <alignment horizontal="center"/>
    </xf>
    <xf numFmtId="0" fontId="74"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0" fontId="0" fillId="0" borderId="28" xfId="0" applyBorder="1" applyAlignment="1">
      <alignment horizontal="center" vertical="center" wrapText="1"/>
    </xf>
    <xf numFmtId="0" fontId="0" fillId="0" borderId="31" xfId="0" applyBorder="1" applyAlignment="1">
      <alignment horizontal="left"/>
    </xf>
    <xf numFmtId="0" fontId="0" fillId="0" borderId="31" xfId="0" applyBorder="1" applyAlignment="1">
      <alignment horizontal="center" vertical="center" wrapText="1"/>
    </xf>
    <xf numFmtId="0" fontId="0" fillId="0" borderId="43" xfId="0"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43" xfId="0" applyBorder="1" applyAlignment="1">
      <alignment horizontal="left" vertical="top"/>
    </xf>
    <xf numFmtId="0" fontId="0" fillId="0" borderId="31" xfId="0" applyBorder="1" applyAlignment="1">
      <alignment horizontal="left" vertical="top"/>
    </xf>
    <xf numFmtId="0" fontId="0" fillId="0" borderId="14" xfId="0" applyBorder="1" applyAlignment="1">
      <alignment horizontal="center" vertical="center" wrapText="1"/>
    </xf>
    <xf numFmtId="0" fontId="0" fillId="0" borderId="14" xfId="0" applyBorder="1" applyAlignment="1">
      <alignment horizontal="left" vertical="top"/>
    </xf>
    <xf numFmtId="0" fontId="4" fillId="0" borderId="28" xfId="0" applyFont="1" applyBorder="1" applyAlignment="1">
      <alignment horizontal="center" vertical="center" wrapText="1"/>
    </xf>
    <xf numFmtId="0" fontId="4" fillId="0" borderId="31" xfId="0" applyFont="1" applyBorder="1" applyAlignment="1">
      <alignment horizontal="left"/>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37" borderId="26" xfId="0" applyFont="1" applyFill="1" applyBorder="1" applyAlignment="1">
      <alignment horizontal="left"/>
    </xf>
    <xf numFmtId="0" fontId="4" fillId="37" borderId="27" xfId="0" applyFont="1" applyFill="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3" fillId="4" borderId="0" xfId="0" applyFont="1" applyFill="1" applyAlignment="1">
      <alignment horizontal="center" vertical="center"/>
    </xf>
    <xf numFmtId="0" fontId="3" fillId="4" borderId="34" xfId="0" applyFont="1" applyFill="1" applyBorder="1" applyAlignment="1">
      <alignment horizontal="center" vertical="center"/>
    </xf>
    <xf numFmtId="0" fontId="44" fillId="5" borderId="1" xfId="0" applyFont="1" applyFill="1" applyBorder="1" applyAlignment="1">
      <alignment horizontal="center" vertical="center" wrapText="1"/>
    </xf>
    <xf numFmtId="0" fontId="44" fillId="5" borderId="17"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21" xfId="0" applyFont="1" applyFill="1" applyBorder="1" applyAlignment="1">
      <alignment horizontal="center" vertical="center" wrapText="1"/>
    </xf>
    <xf numFmtId="0" fontId="44" fillId="5" borderId="15" xfId="0" applyFont="1" applyFill="1" applyBorder="1" applyAlignment="1">
      <alignment horizontal="center" vertical="center" wrapText="1"/>
    </xf>
    <xf numFmtId="0" fontId="0" fillId="59" borderId="1" xfId="0" applyFill="1" applyBorder="1" applyAlignment="1">
      <alignment horizontal="center"/>
    </xf>
    <xf numFmtId="0" fontId="44" fillId="59" borderId="2" xfId="0" applyFont="1" applyFill="1" applyBorder="1" applyAlignment="1">
      <alignment horizontal="center"/>
    </xf>
    <xf numFmtId="0" fontId="44" fillId="59" borderId="7" xfId="0" applyFont="1" applyFill="1" applyBorder="1" applyAlignment="1">
      <alignment horizontal="center"/>
    </xf>
    <xf numFmtId="0" fontId="44" fillId="59" borderId="3" xfId="0" applyFont="1" applyFill="1" applyBorder="1" applyAlignment="1">
      <alignment horizontal="center"/>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90" fillId="11" borderId="4" xfId="6" applyFont="1" applyFill="1" applyBorder="1" applyAlignment="1">
      <alignment horizontal="left" vertical="center"/>
    </xf>
    <xf numFmtId="0" fontId="90" fillId="11" borderId="0" xfId="6" applyFont="1" applyFill="1" applyBorder="1" applyAlignment="1">
      <alignment horizontal="left" vertical="center"/>
    </xf>
    <xf numFmtId="166" fontId="91" fillId="11" borderId="4" xfId="6" applyNumberFormat="1" applyFont="1" applyFill="1" applyBorder="1" applyAlignment="1">
      <alignment horizontal="left" vertical="center"/>
    </xf>
    <xf numFmtId="166" fontId="91" fillId="11" borderId="0" xfId="6" applyNumberFormat="1" applyFont="1" applyFill="1" applyBorder="1" applyAlignment="1">
      <alignment horizontal="left" vertical="center"/>
    </xf>
    <xf numFmtId="0" fontId="89"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166" fontId="38" fillId="37" borderId="41" xfId="6" applyNumberFormat="1" applyFont="1" applyFill="1" applyBorder="1" applyAlignment="1">
      <alignment horizontal="left" vertical="center"/>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35">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vertical="top" readingOrder="0"/>
    </dxf>
    <dxf>
      <alignment vertical="top" readingOrder="0"/>
    </dxf>
    <dxf>
      <border>
        <right style="medium">
          <color indexed="64"/>
        </right>
      </border>
    </dxf>
    <dxf>
      <border>
        <right style="medium">
          <color indexed="64"/>
        </right>
      </border>
    </dxf>
    <dxf>
      <border>
        <left style="medium">
          <color indexed="64"/>
        </left>
        <right style="medium">
          <color indexed="64"/>
        </right>
      </border>
    </dxf>
    <dxf>
      <border>
        <right style="medium">
          <color indexed="64"/>
        </right>
      </border>
    </dxf>
    <dxf>
      <alignment vertical="top"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ill>
        <patternFill patternType="none">
          <fgColor indexed="64"/>
          <bgColor indexed="65"/>
        </patternFill>
      </fill>
    </dxf>
    <dxf>
      <font>
        <strike val="0"/>
        <outline val="0"/>
        <shadow val="0"/>
        <u val="none"/>
        <vertAlign val="baseline"/>
        <sz val="10"/>
        <color auto="1"/>
        <name val="Arial"/>
        <scheme val="none"/>
      </font>
      <fill>
        <patternFill patternType="solid">
          <fgColor indexed="64"/>
          <bgColor theme="8" tint="0.79998168889431442"/>
        </patternFill>
      </fill>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vertical="top" readingOrder="0"/>
    </dxf>
    <dxf>
      <border>
        <right style="medium">
          <color indexed="64"/>
        </right>
      </border>
    </dxf>
    <dxf>
      <border>
        <left style="medium">
          <color indexed="64"/>
        </left>
        <right style="medium">
          <color indexed="64"/>
        </right>
      </border>
    </dxf>
    <dxf>
      <border>
        <right style="medium">
          <color indexed="64"/>
        </right>
      </border>
    </dxf>
    <dxf>
      <border>
        <right style="medium">
          <color indexed="64"/>
        </right>
      </border>
    </dxf>
    <dxf>
      <alignment vertical="top" readingOrder="0"/>
    </dxf>
    <dxf>
      <alignment vertical="top"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34"/>
      <tableStyleElement type="firstColumnStripe" dxfId="1233"/>
    </tableStyle>
  </tableStyles>
  <colors>
    <mruColors>
      <color rgb="FFFF7C80"/>
      <color rgb="FF630D15"/>
      <color rgb="FF990000"/>
      <color rgb="FFFC5528"/>
      <color rgb="FFFF66CC"/>
      <color rgb="FFDD9A57"/>
      <color rgb="FF7EF2AD"/>
      <color rgb="FFFF0066"/>
      <color rgb="FF727EB2"/>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124588</c:v>
                </c:pt>
              </c:numCache>
            </c:numRef>
          </c:val>
        </c:ser>
        <c:dLbls>
          <c:showLegendKey val="0"/>
          <c:showVal val="0"/>
          <c:showCatName val="0"/>
          <c:showSerName val="0"/>
          <c:showPercent val="0"/>
          <c:showBubbleSize val="0"/>
        </c:dLbls>
        <c:gapWidth val="150"/>
        <c:shape val="box"/>
        <c:axId val="420849760"/>
        <c:axId val="420850544"/>
        <c:axId val="0"/>
      </c:bar3DChart>
      <c:catAx>
        <c:axId val="420849760"/>
        <c:scaling>
          <c:orientation val="minMax"/>
        </c:scaling>
        <c:delete val="0"/>
        <c:axPos val="l"/>
        <c:numFmt formatCode="General" sourceLinked="0"/>
        <c:majorTickMark val="out"/>
        <c:minorTickMark val="none"/>
        <c:tickLblPos val="nextTo"/>
        <c:crossAx val="420850544"/>
        <c:crosses val="autoZero"/>
        <c:auto val="1"/>
        <c:lblAlgn val="ctr"/>
        <c:lblOffset val="100"/>
        <c:noMultiLvlLbl val="0"/>
      </c:catAx>
      <c:valAx>
        <c:axId val="420850544"/>
        <c:scaling>
          <c:orientation val="minMax"/>
          <c:min val="0"/>
        </c:scaling>
        <c:delete val="0"/>
        <c:axPos val="b"/>
        <c:majorGridlines/>
        <c:numFmt formatCode="0%" sourceLinked="1"/>
        <c:majorTickMark val="out"/>
        <c:minorTickMark val="none"/>
        <c:tickLblPos val="nextTo"/>
        <c:crossAx val="420849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103031</c:v>
                </c:pt>
                <c:pt idx="1">
                  <c:v>13618</c:v>
                </c:pt>
                <c:pt idx="2">
                  <c:v>6119</c:v>
                </c:pt>
                <c:pt idx="3">
                  <c:v>4665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105446</c:v>
                </c:pt>
                <c:pt idx="1">
                  <c:v>22421</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421963544"/>
        <c:axId val="421963936"/>
      </c:barChart>
      <c:catAx>
        <c:axId val="421963544"/>
        <c:scaling>
          <c:orientation val="minMax"/>
        </c:scaling>
        <c:delete val="0"/>
        <c:axPos val="l"/>
        <c:numFmt formatCode="General" sourceLinked="0"/>
        <c:majorTickMark val="out"/>
        <c:minorTickMark val="none"/>
        <c:tickLblPos val="nextTo"/>
        <c:txPr>
          <a:bodyPr/>
          <a:lstStyle/>
          <a:p>
            <a:pPr>
              <a:defRPr sz="1050"/>
            </a:pPr>
            <a:endParaRPr lang="en-US"/>
          </a:p>
        </c:txPr>
        <c:crossAx val="421963936"/>
        <c:crosses val="autoZero"/>
        <c:auto val="1"/>
        <c:lblAlgn val="ctr"/>
        <c:lblOffset val="100"/>
        <c:noMultiLvlLbl val="0"/>
      </c:catAx>
      <c:valAx>
        <c:axId val="421963936"/>
        <c:scaling>
          <c:orientation val="minMax"/>
          <c:max val="100000"/>
        </c:scaling>
        <c:delete val="0"/>
        <c:axPos val="b"/>
        <c:majorGridlines/>
        <c:numFmt formatCode="General" sourceLinked="1"/>
        <c:majorTickMark val="out"/>
        <c:minorTickMark val="none"/>
        <c:tickLblPos val="nextTo"/>
        <c:crossAx val="421963544"/>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17634</c:v>
                </c:pt>
                <c:pt idx="3">
                  <c:v>81657</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13072</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4665</c:v>
                </c:pt>
              </c:numCache>
            </c:numRef>
          </c:val>
        </c:ser>
        <c:dLbls>
          <c:showLegendKey val="0"/>
          <c:showVal val="0"/>
          <c:showCatName val="0"/>
          <c:showSerName val="0"/>
          <c:showPercent val="0"/>
          <c:showBubbleSize val="0"/>
        </c:dLbls>
        <c:gapWidth val="150"/>
        <c:overlap val="100"/>
        <c:axId val="616092792"/>
        <c:axId val="616093184"/>
      </c:barChart>
      <c:catAx>
        <c:axId val="616092792"/>
        <c:scaling>
          <c:orientation val="minMax"/>
        </c:scaling>
        <c:delete val="0"/>
        <c:axPos val="l"/>
        <c:numFmt formatCode="General" sourceLinked="0"/>
        <c:majorTickMark val="out"/>
        <c:minorTickMark val="none"/>
        <c:tickLblPos val="nextTo"/>
        <c:crossAx val="616093184"/>
        <c:crosses val="autoZero"/>
        <c:auto val="1"/>
        <c:lblAlgn val="ctr"/>
        <c:lblOffset val="100"/>
        <c:noMultiLvlLbl val="0"/>
      </c:catAx>
      <c:valAx>
        <c:axId val="616093184"/>
        <c:scaling>
          <c:orientation val="minMax"/>
        </c:scaling>
        <c:delete val="0"/>
        <c:axPos val="b"/>
        <c:majorGridlines/>
        <c:numFmt formatCode="General" sourceLinked="1"/>
        <c:majorTickMark val="out"/>
        <c:minorTickMark val="none"/>
        <c:tickLblPos val="nextTo"/>
        <c:crossAx val="616092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2212</c:v>
                </c:pt>
                <c:pt idx="1">
                  <c:v>15411.765542141487</c:v>
                </c:pt>
                <c:pt idx="2">
                  <c:v>12236.711384407085</c:v>
                </c:pt>
                <c:pt idx="3">
                  <c:v>8599</c:v>
                </c:pt>
                <c:pt idx="4">
                  <c:v>10771</c:v>
                </c:pt>
                <c:pt idx="5">
                  <c:v>11758</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-2192</c:v>
                </c:pt>
                <c:pt idx="1">
                  <c:v>-14416</c:v>
                </c:pt>
                <c:pt idx="2">
                  <c:v>-9226</c:v>
                </c:pt>
                <c:pt idx="3">
                  <c:v>-9184.9377186054389</c:v>
                </c:pt>
                <c:pt idx="4">
                  <c:v>-11709.222159539659</c:v>
                </c:pt>
                <c:pt idx="5">
                  <c:v>-12006.964797472639</c:v>
                </c:pt>
              </c:numCache>
            </c:numRef>
          </c:val>
          <c:extLst/>
        </c:ser>
        <c:dLbls>
          <c:showLegendKey val="0"/>
          <c:showVal val="0"/>
          <c:showCatName val="0"/>
          <c:showSerName val="0"/>
          <c:showPercent val="0"/>
          <c:showBubbleSize val="0"/>
        </c:dLbls>
        <c:gapWidth val="150"/>
        <c:overlap val="100"/>
        <c:axId val="616093968"/>
        <c:axId val="616094360"/>
      </c:barChart>
      <c:catAx>
        <c:axId val="616093968"/>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16094360"/>
        <c:crosses val="autoZero"/>
        <c:auto val="1"/>
        <c:lblAlgn val="ctr"/>
        <c:lblOffset val="100"/>
        <c:noMultiLvlLbl val="0"/>
      </c:catAx>
      <c:valAx>
        <c:axId val="616094360"/>
        <c:scaling>
          <c:orientation val="minMax"/>
        </c:scaling>
        <c:delete val="1"/>
        <c:axPos val="b"/>
        <c:numFmt formatCode="#,###;[Black]#,###" sourceLinked="0"/>
        <c:majorTickMark val="out"/>
        <c:minorTickMark val="none"/>
        <c:tickLblPos val="nextTo"/>
        <c:crossAx val="616093968"/>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[11._shelter-nfi_cccm_rakhine_cluster_analysis_report_30_november_2018.xlsx]Vulnerability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1283</c:v>
                </c:pt>
                <c:pt idx="1">
                  <c:v>4676</c:v>
                </c:pt>
                <c:pt idx="2">
                  <c:v>1246</c:v>
                </c:pt>
                <c:pt idx="3">
                  <c:v>316</c:v>
                </c:pt>
                <c:pt idx="4">
                  <c:v>563</c:v>
                </c:pt>
                <c:pt idx="5">
                  <c:v>73</c:v>
                </c:pt>
                <c:pt idx="6">
                  <c:v>92</c:v>
                </c:pt>
                <c:pt idx="7">
                  <c:v>1574</c:v>
                </c:pt>
                <c:pt idx="8">
                  <c:v>932</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626</c:v>
                </c:pt>
                <c:pt idx="1">
                  <c:v>1841</c:v>
                </c:pt>
                <c:pt idx="2">
                  <c:v>455</c:v>
                </c:pt>
                <c:pt idx="3">
                  <c:v>39</c:v>
                </c:pt>
                <c:pt idx="4">
                  <c:v>157</c:v>
                </c:pt>
                <c:pt idx="5">
                  <c:v>17</c:v>
                </c:pt>
                <c:pt idx="6">
                  <c:v>22</c:v>
                </c:pt>
                <c:pt idx="7">
                  <c:v>248</c:v>
                </c:pt>
                <c:pt idx="8">
                  <c:v>405</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24</c:v>
                </c:pt>
                <c:pt idx="1">
                  <c:v>122</c:v>
                </c:pt>
                <c:pt idx="2">
                  <c:v>40</c:v>
                </c:pt>
                <c:pt idx="3">
                  <c:v>13</c:v>
                </c:pt>
                <c:pt idx="4">
                  <c:v>8</c:v>
                </c:pt>
                <c:pt idx="5">
                  <c:v>0</c:v>
                </c:pt>
                <c:pt idx="6">
                  <c:v>0</c:v>
                </c:pt>
                <c:pt idx="8">
                  <c:v>145</c:v>
                </c:pt>
                <c:pt idx="9">
                  <c:v>1</c:v>
                </c:pt>
              </c:numCache>
            </c:numRef>
          </c:val>
        </c:ser>
        <c:dLbls>
          <c:showLegendKey val="0"/>
          <c:showVal val="0"/>
          <c:showCatName val="0"/>
          <c:showSerName val="0"/>
          <c:showPercent val="0"/>
          <c:showBubbleSize val="0"/>
        </c:dLbls>
        <c:gapWidth val="50"/>
        <c:overlap val="100"/>
        <c:axId val="616095536"/>
        <c:axId val="616095928"/>
      </c:barChart>
      <c:catAx>
        <c:axId val="616095536"/>
        <c:scaling>
          <c:orientation val="minMax"/>
        </c:scaling>
        <c:delete val="0"/>
        <c:axPos val="l"/>
        <c:numFmt formatCode="General" sourceLinked="0"/>
        <c:majorTickMark val="none"/>
        <c:minorTickMark val="none"/>
        <c:tickLblPos val="nextTo"/>
        <c:txPr>
          <a:bodyPr/>
          <a:lstStyle/>
          <a:p>
            <a:pPr>
              <a:defRPr sz="1000"/>
            </a:pPr>
            <a:endParaRPr lang="en-US"/>
          </a:p>
        </c:txPr>
        <c:crossAx val="616095928"/>
        <c:crosses val="autoZero"/>
        <c:auto val="1"/>
        <c:lblAlgn val="ctr"/>
        <c:lblOffset val="100"/>
        <c:noMultiLvlLbl val="0"/>
      </c:catAx>
      <c:valAx>
        <c:axId val="61609592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1609553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18062856"/>
        <c:axId val="618063248"/>
      </c:barChart>
      <c:catAx>
        <c:axId val="618062856"/>
        <c:scaling>
          <c:orientation val="minMax"/>
        </c:scaling>
        <c:delete val="0"/>
        <c:axPos val="b"/>
        <c:numFmt formatCode="General" sourceLinked="0"/>
        <c:majorTickMark val="out"/>
        <c:minorTickMark val="none"/>
        <c:tickLblPos val="nextTo"/>
        <c:crossAx val="618063248"/>
        <c:crosses val="autoZero"/>
        <c:auto val="1"/>
        <c:lblAlgn val="ctr"/>
        <c:lblOffset val="100"/>
        <c:noMultiLvlLbl val="0"/>
      </c:catAx>
      <c:valAx>
        <c:axId val="618063248"/>
        <c:scaling>
          <c:orientation val="minMax"/>
        </c:scaling>
        <c:delete val="0"/>
        <c:axPos val="l"/>
        <c:majorGridlines/>
        <c:numFmt formatCode="#,##0" sourceLinked="1"/>
        <c:majorTickMark val="out"/>
        <c:minorTickMark val="none"/>
        <c:tickLblPos val="nextTo"/>
        <c:crossAx val="618062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Analysis'!$B$67:$B$88</c:f>
              <c:numCache>
                <c:formatCode>#,##0</c:formatCode>
                <c:ptCount val="18"/>
                <c:pt idx="2">
                  <c:v>2845</c:v>
                </c:pt>
              </c:numCache>
            </c:numRef>
          </c:val>
        </c:ser>
        <c:ser>
          <c:idx val="1"/>
          <c:order val="1"/>
          <c:tx>
            <c:strRef>
              <c:f>'Camp Analysis'!$C$65:$C$66</c:f>
              <c:strCache>
                <c:ptCount val="1"/>
                <c:pt idx="0">
                  <c:v>-Muslim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Analysis'!$C$67:$C$88</c:f>
              <c:numCache>
                <c:formatCode>#,##0</c:formatCode>
                <c:ptCount val="18"/>
                <c:pt idx="0">
                  <c:v>4726</c:v>
                </c:pt>
                <c:pt idx="1">
                  <c:v>5945</c:v>
                </c:pt>
                <c:pt idx="3">
                  <c:v>4118</c:v>
                </c:pt>
                <c:pt idx="4">
                  <c:v>2267</c:v>
                </c:pt>
                <c:pt idx="5">
                  <c:v>4757</c:v>
                </c:pt>
                <c:pt idx="6">
                  <c:v>6611</c:v>
                </c:pt>
                <c:pt idx="7">
                  <c:v>11363</c:v>
                </c:pt>
                <c:pt idx="8">
                  <c:v>3370</c:v>
                </c:pt>
                <c:pt idx="9">
                  <c:v>4007</c:v>
                </c:pt>
                <c:pt idx="10">
                  <c:v>13794</c:v>
                </c:pt>
                <c:pt idx="11">
                  <c:v>11322</c:v>
                </c:pt>
                <c:pt idx="12">
                  <c:v>13711</c:v>
                </c:pt>
                <c:pt idx="13">
                  <c:v>13072</c:v>
                </c:pt>
                <c:pt idx="14">
                  <c:v>5926</c:v>
                </c:pt>
                <c:pt idx="15">
                  <c:v>2306</c:v>
                </c:pt>
                <c:pt idx="16">
                  <c:v>2223</c:v>
                </c:pt>
                <c:pt idx="17">
                  <c:v>2690</c:v>
                </c:pt>
              </c:numCache>
            </c:numRef>
          </c:val>
        </c:ser>
        <c:dLbls>
          <c:showLegendKey val="0"/>
          <c:showVal val="0"/>
          <c:showCatName val="0"/>
          <c:showSerName val="0"/>
          <c:showPercent val="0"/>
          <c:showBubbleSize val="0"/>
        </c:dLbls>
        <c:gapWidth val="150"/>
        <c:overlap val="100"/>
        <c:axId val="618064032"/>
        <c:axId val="618064424"/>
      </c:barChart>
      <c:catAx>
        <c:axId val="618064032"/>
        <c:scaling>
          <c:orientation val="minMax"/>
        </c:scaling>
        <c:delete val="0"/>
        <c:axPos val="b"/>
        <c:numFmt formatCode="General" sourceLinked="0"/>
        <c:majorTickMark val="out"/>
        <c:minorTickMark val="none"/>
        <c:tickLblPos val="nextTo"/>
        <c:crossAx val="618064424"/>
        <c:crosses val="autoZero"/>
        <c:auto val="1"/>
        <c:lblAlgn val="ctr"/>
        <c:lblOffset val="100"/>
        <c:noMultiLvlLbl val="0"/>
      </c:catAx>
      <c:valAx>
        <c:axId val="618064424"/>
        <c:scaling>
          <c:orientation val="minMax"/>
        </c:scaling>
        <c:delete val="0"/>
        <c:axPos val="l"/>
        <c:majorGridlines/>
        <c:numFmt formatCode="#,##0" sourceLinked="1"/>
        <c:majorTickMark val="out"/>
        <c:minorTickMark val="none"/>
        <c:tickLblPos val="nextTo"/>
        <c:crossAx val="618064032"/>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18064816"/>
        <c:axId val="618065208"/>
      </c:barChart>
      <c:catAx>
        <c:axId val="618064816"/>
        <c:scaling>
          <c:orientation val="minMax"/>
        </c:scaling>
        <c:delete val="0"/>
        <c:axPos val="b"/>
        <c:numFmt formatCode="General" sourceLinked="0"/>
        <c:majorTickMark val="out"/>
        <c:minorTickMark val="none"/>
        <c:tickLblPos val="nextTo"/>
        <c:crossAx val="618065208"/>
        <c:crosses val="autoZero"/>
        <c:auto val="1"/>
        <c:lblAlgn val="ctr"/>
        <c:lblOffset val="100"/>
        <c:noMultiLvlLbl val="0"/>
      </c:catAx>
      <c:valAx>
        <c:axId val="618065208"/>
        <c:scaling>
          <c:orientation val="minMax"/>
        </c:scaling>
        <c:delete val="0"/>
        <c:axPos val="l"/>
        <c:numFmt formatCode="General" sourceLinked="1"/>
        <c:majorTickMark val="out"/>
        <c:minorTickMark val="none"/>
        <c:tickLblPos val="nextTo"/>
        <c:crossAx val="618064816"/>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18065992"/>
        <c:axId val="616668160"/>
      </c:barChart>
      <c:catAx>
        <c:axId val="618065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668160"/>
        <c:crosses val="autoZero"/>
        <c:auto val="1"/>
        <c:lblAlgn val="ctr"/>
        <c:lblOffset val="100"/>
        <c:noMultiLvlLbl val="0"/>
      </c:catAx>
      <c:valAx>
        <c:axId val="616668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065992"/>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16668944"/>
        <c:axId val="616669336"/>
      </c:barChart>
      <c:catAx>
        <c:axId val="61666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6669336"/>
        <c:crosses val="autoZero"/>
        <c:auto val="1"/>
        <c:lblAlgn val="ctr"/>
        <c:lblOffset val="100"/>
        <c:noMultiLvlLbl val="0"/>
      </c:catAx>
      <c:valAx>
        <c:axId val="61666933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16668944"/>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63033</c:v>
                </c:pt>
                <c:pt idx="1">
                  <c:v>44699</c:v>
                </c:pt>
                <c:pt idx="2">
                  <c:v>9296</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20851328"/>
        <c:axId val="420851720"/>
      </c:barChart>
      <c:catAx>
        <c:axId val="420851328"/>
        <c:scaling>
          <c:orientation val="minMax"/>
        </c:scaling>
        <c:delete val="0"/>
        <c:axPos val="b"/>
        <c:numFmt formatCode="General" sourceLinked="0"/>
        <c:majorTickMark val="out"/>
        <c:minorTickMark val="none"/>
        <c:tickLblPos val="nextTo"/>
        <c:crossAx val="420851720"/>
        <c:crosses val="autoZero"/>
        <c:auto val="1"/>
        <c:lblAlgn val="ctr"/>
        <c:lblOffset val="100"/>
        <c:noMultiLvlLbl val="0"/>
      </c:catAx>
      <c:valAx>
        <c:axId val="420851720"/>
        <c:scaling>
          <c:orientation val="minMax"/>
        </c:scaling>
        <c:delete val="0"/>
        <c:axPos val="l"/>
        <c:majorGridlines/>
        <c:numFmt formatCode="#,##0" sourceLinked="0"/>
        <c:majorTickMark val="out"/>
        <c:minorTickMark val="none"/>
        <c:tickLblPos val="nextTo"/>
        <c:crossAx val="420851328"/>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1592</c:v>
                </c:pt>
                <c:pt idx="1">
                  <c:v>1784</c:v>
                </c:pt>
                <c:pt idx="2">
                  <c:v>7322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16670120"/>
        <c:axId val="616670512"/>
      </c:barChart>
      <c:catAx>
        <c:axId val="616670120"/>
        <c:scaling>
          <c:orientation val="minMax"/>
        </c:scaling>
        <c:delete val="0"/>
        <c:axPos val="l"/>
        <c:numFmt formatCode="General" sourceLinked="0"/>
        <c:majorTickMark val="out"/>
        <c:minorTickMark val="none"/>
        <c:tickLblPos val="nextTo"/>
        <c:spPr>
          <a:ln>
            <a:noFill/>
          </a:ln>
        </c:spPr>
        <c:crossAx val="616670512"/>
        <c:crosses val="autoZero"/>
        <c:auto val="1"/>
        <c:lblAlgn val="ctr"/>
        <c:lblOffset val="100"/>
        <c:noMultiLvlLbl val="0"/>
      </c:catAx>
      <c:valAx>
        <c:axId val="61667051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1667012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94113.915531219493</c:v>
                </c:pt>
                <c:pt idx="1">
                  <c:v>25840.084468780507</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16671688"/>
        <c:axId val="616672080"/>
      </c:barChart>
      <c:catAx>
        <c:axId val="61667168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16672080"/>
        <c:crosses val="autoZero"/>
        <c:auto val="1"/>
        <c:lblAlgn val="ctr"/>
        <c:lblOffset val="100"/>
        <c:noMultiLvlLbl val="0"/>
      </c:catAx>
      <c:valAx>
        <c:axId val="616672080"/>
        <c:scaling>
          <c:orientation val="minMax"/>
        </c:scaling>
        <c:delete val="1"/>
        <c:axPos val="l"/>
        <c:majorGridlines>
          <c:spPr>
            <a:ln>
              <a:noFill/>
            </a:ln>
          </c:spPr>
        </c:majorGridlines>
        <c:numFmt formatCode="General" sourceLinked="1"/>
        <c:majorTickMark val="out"/>
        <c:minorTickMark val="none"/>
        <c:tickLblPos val="nextTo"/>
        <c:crossAx val="616671688"/>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16672864"/>
        <c:axId val="616673256"/>
      </c:barChart>
      <c:catAx>
        <c:axId val="616672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673256"/>
        <c:crosses val="autoZero"/>
        <c:auto val="1"/>
        <c:lblAlgn val="ctr"/>
        <c:lblOffset val="100"/>
        <c:noMultiLvlLbl val="0"/>
      </c:catAx>
      <c:valAx>
        <c:axId val="616673256"/>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6672864"/>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16674432"/>
        <c:axId val="616674824"/>
      </c:barChart>
      <c:catAx>
        <c:axId val="616674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674824"/>
        <c:crosses val="autoZero"/>
        <c:auto val="1"/>
        <c:lblAlgn val="ctr"/>
        <c:lblOffset val="100"/>
        <c:noMultiLvlLbl val="0"/>
      </c:catAx>
      <c:valAx>
        <c:axId val="616674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6674432"/>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v>19064 8022 16170 8466 2184 75179 852 1437 0 703 37217 264</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Lit>
          </c:cat>
          <c:val>
            <c:numRef>
              <c:f>'NFI Distribution by 12 Months'!$C$39:$N$39</c:f>
              <c:numCache>
                <c:formatCode>General</c:formatCode>
                <c:ptCount val="12"/>
                <c:pt idx="0">
                  <c:v>21102</c:v>
                </c:pt>
                <c:pt idx="1">
                  <c:v>9041</c:v>
                </c:pt>
                <c:pt idx="2">
                  <c:v>18208</c:v>
                </c:pt>
                <c:pt idx="3">
                  <c:v>10775</c:v>
                </c:pt>
                <c:pt idx="4">
                  <c:v>2184</c:v>
                </c:pt>
                <c:pt idx="5" formatCode="0">
                  <c:v>87916.5</c:v>
                </c:pt>
                <c:pt idx="6">
                  <c:v>852</c:v>
                </c:pt>
                <c:pt idx="7">
                  <c:v>1437</c:v>
                </c:pt>
                <c:pt idx="8">
                  <c:v>0</c:v>
                </c:pt>
                <c:pt idx="9">
                  <c:v>703</c:v>
                </c:pt>
                <c:pt idx="10">
                  <c:v>29942</c:v>
                </c:pt>
                <c:pt idx="11">
                  <c:v>264</c:v>
                </c:pt>
              </c:numCache>
            </c:numRef>
          </c:val>
        </c:ser>
        <c:dLbls>
          <c:showLegendKey val="0"/>
          <c:showVal val="0"/>
          <c:showCatName val="0"/>
          <c:showSerName val="0"/>
          <c:showPercent val="0"/>
          <c:showBubbleSize val="0"/>
        </c:dLbls>
        <c:gapWidth val="58"/>
        <c:overlap val="100"/>
        <c:axId val="616675608"/>
        <c:axId val="629391720"/>
      </c:barChart>
      <c:catAx>
        <c:axId val="616675608"/>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9391720"/>
        <c:crosses val="autoZero"/>
        <c:auto val="1"/>
        <c:lblAlgn val="ctr"/>
        <c:lblOffset val="100"/>
        <c:noMultiLvlLbl val="0"/>
      </c:catAx>
      <c:valAx>
        <c:axId val="629391720"/>
        <c:scaling>
          <c:orientation val="minMax"/>
        </c:scaling>
        <c:delete val="1"/>
        <c:axPos val="l"/>
        <c:numFmt formatCode="General" sourceLinked="1"/>
        <c:majorTickMark val="none"/>
        <c:minorTickMark val="none"/>
        <c:tickLblPos val="nextTo"/>
        <c:crossAx val="6166756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0.44848681278612812</c:v>
                </c:pt>
                <c:pt idx="1">
                  <c:v>0.28116517441153832</c:v>
                </c:pt>
                <c:pt idx="2">
                  <c:v>0.40035652068225092</c:v>
                </c:pt>
                <c:pt idx="3">
                  <c:v>0.44366568083296198</c:v>
                </c:pt>
                <c:pt idx="4">
                  <c:v>2.9493983713487014E-2</c:v>
                </c:pt>
                <c:pt idx="5">
                  <c:v>0.35287444800064821</c:v>
                </c:pt>
                <c:pt idx="6">
                  <c:v>3.4517684236113927E-2</c:v>
                </c:pt>
                <c:pt idx="7">
                  <c:v>7.6732974111736824E-2</c:v>
                </c:pt>
                <c:pt idx="8">
                  <c:v>2.8683709435643967E-2</c:v>
                </c:pt>
                <c:pt idx="9">
                  <c:v>1</c:v>
                </c:pt>
                <c:pt idx="10">
                  <c:v>1.0695620467528259E-2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0.55151318721387188</c:v>
                </c:pt>
                <c:pt idx="1">
                  <c:v>0.71883482558846168</c:v>
                </c:pt>
                <c:pt idx="2">
                  <c:v>0.59964347931774908</c:v>
                </c:pt>
                <c:pt idx="3">
                  <c:v>0.55633431916703802</c:v>
                </c:pt>
                <c:pt idx="4">
                  <c:v>0.97050601628651301</c:v>
                </c:pt>
                <c:pt idx="5">
                  <c:v>0.64712555199935173</c:v>
                </c:pt>
                <c:pt idx="6">
                  <c:v>0.9654823157638861</c:v>
                </c:pt>
                <c:pt idx="7">
                  <c:v>0.92326702588826315</c:v>
                </c:pt>
                <c:pt idx="8">
                  <c:v>0.97131629056435609</c:v>
                </c:pt>
                <c:pt idx="9">
                  <c:v>0</c:v>
                </c:pt>
                <c:pt idx="10">
                  <c:v>0.98930437953247174</c:v>
                </c:pt>
              </c:numCache>
            </c:numRef>
          </c:val>
        </c:ser>
        <c:dLbls>
          <c:showLegendKey val="0"/>
          <c:showVal val="0"/>
          <c:showCatName val="0"/>
          <c:showSerName val="0"/>
          <c:showPercent val="0"/>
          <c:showBubbleSize val="0"/>
        </c:dLbls>
        <c:gapWidth val="98"/>
        <c:overlap val="100"/>
        <c:axId val="629392504"/>
        <c:axId val="629392896"/>
      </c:barChart>
      <c:catAx>
        <c:axId val="62939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9392896"/>
        <c:crosses val="autoZero"/>
        <c:auto val="1"/>
        <c:lblAlgn val="ctr"/>
        <c:lblOffset val="100"/>
        <c:noMultiLvlLbl val="0"/>
      </c:catAx>
      <c:valAx>
        <c:axId val="629392896"/>
        <c:scaling>
          <c:orientation val="minMax"/>
        </c:scaling>
        <c:delete val="1"/>
        <c:axPos val="l"/>
        <c:numFmt formatCode="0%" sourceLinked="1"/>
        <c:majorTickMark val="none"/>
        <c:minorTickMark val="none"/>
        <c:tickLblPos val="nextTo"/>
        <c:crossAx val="629392504"/>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Months'!$C$134</c:f>
              <c:strCache>
                <c:ptCount val="1"/>
                <c:pt idx="0">
                  <c:v>DRC</c:v>
                </c:pt>
              </c:strCache>
            </c:strRef>
          </c:tx>
          <c:spPr>
            <a:solidFill>
              <a:srgbClr val="FF7C8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Months'!$D$134:$O$134</c:f>
              <c:numCache>
                <c:formatCode>General</c:formatCode>
                <c:ptCount val="12"/>
                <c:pt idx="0">
                  <c:v>728</c:v>
                </c:pt>
                <c:pt idx="1">
                  <c:v>808</c:v>
                </c:pt>
                <c:pt idx="2">
                  <c:v>0</c:v>
                </c:pt>
                <c:pt idx="3">
                  <c:v>728</c:v>
                </c:pt>
                <c:pt idx="4">
                  <c:v>728</c:v>
                </c:pt>
                <c:pt idx="5">
                  <c:v>0</c:v>
                </c:pt>
                <c:pt idx="6">
                  <c:v>852</c:v>
                </c:pt>
                <c:pt idx="7">
                  <c:v>852</c:v>
                </c:pt>
                <c:pt idx="8">
                  <c:v>0</c:v>
                </c:pt>
                <c:pt idx="9">
                  <c:v>0</c:v>
                </c:pt>
                <c:pt idx="10">
                  <c:v>0</c:v>
                </c:pt>
                <c:pt idx="11">
                  <c:v>264</c:v>
                </c:pt>
              </c:numCache>
            </c:numRef>
          </c:val>
        </c:ser>
        <c:ser>
          <c:idx val="1"/>
          <c:order val="1"/>
          <c:tx>
            <c:strRef>
              <c:f>'NFI Distribution by 12 Months'!$C$135</c:f>
              <c:strCache>
                <c:ptCount val="1"/>
                <c:pt idx="0">
                  <c:v>LWF</c:v>
                </c:pt>
              </c:strCache>
            </c:strRef>
          </c:tx>
          <c:spPr>
            <a:solidFill>
              <a:srgbClr val="99000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60</c:v>
                </c:pt>
                <c:pt idx="1">
                  <c:v>40</c:v>
                </c:pt>
                <c:pt idx="2">
                  <c:v>0</c:v>
                </c:pt>
                <c:pt idx="3">
                  <c:v>0</c:v>
                </c:pt>
                <c:pt idx="4">
                  <c:v>0</c:v>
                </c:pt>
                <c:pt idx="5">
                  <c:v>60</c:v>
                </c:pt>
                <c:pt idx="6">
                  <c:v>0</c:v>
                </c:pt>
                <c:pt idx="7">
                  <c:v>0</c:v>
                </c:pt>
                <c:pt idx="8">
                  <c:v>0</c:v>
                </c:pt>
                <c:pt idx="9">
                  <c:v>60</c:v>
                </c:pt>
                <c:pt idx="10">
                  <c:v>0</c:v>
                </c:pt>
                <c:pt idx="11">
                  <c:v>0</c:v>
                </c:pt>
              </c:numCache>
            </c:numRef>
          </c:val>
        </c:ser>
        <c:ser>
          <c:idx val="2"/>
          <c:order val="2"/>
          <c:tx>
            <c:strRef>
              <c:f>'NFI Distribution by 12 Months'!$C$136</c:f>
              <c:strCache>
                <c:ptCount val="1"/>
                <c:pt idx="0">
                  <c:v>MHAA</c:v>
                </c:pt>
              </c:strCache>
            </c:strRef>
          </c:tx>
          <c:spPr>
            <a:solidFill>
              <a:schemeClr val="accent3"/>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Months'!$C$137</c:f>
              <c:strCache>
                <c:ptCount val="1"/>
                <c:pt idx="0">
                  <c:v>NRC</c:v>
                </c:pt>
              </c:strCache>
            </c:strRef>
          </c:tx>
          <c:spPr>
            <a:solidFill>
              <a:schemeClr val="accent4"/>
            </a:solidFill>
            <a:ln w="15875">
              <a:solidFill>
                <a:schemeClr val="accent4"/>
              </a:solid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283</c:v>
                </c:pt>
                <c:pt idx="1">
                  <c:v>0</c:v>
                </c:pt>
                <c:pt idx="2">
                  <c:v>283</c:v>
                </c:pt>
                <c:pt idx="3">
                  <c:v>283</c:v>
                </c:pt>
                <c:pt idx="4">
                  <c:v>0</c:v>
                </c:pt>
                <c:pt idx="5">
                  <c:v>0</c:v>
                </c:pt>
                <c:pt idx="6">
                  <c:v>0</c:v>
                </c:pt>
                <c:pt idx="7">
                  <c:v>0</c:v>
                </c:pt>
                <c:pt idx="8">
                  <c:v>0</c:v>
                </c:pt>
                <c:pt idx="9">
                  <c:v>348</c:v>
                </c:pt>
                <c:pt idx="10">
                  <c:v>0</c:v>
                </c:pt>
                <c:pt idx="11">
                  <c:v>0</c:v>
                </c:pt>
              </c:numCache>
            </c:numRef>
          </c:val>
        </c:ser>
        <c:ser>
          <c:idx val="4"/>
          <c:order val="4"/>
          <c:tx>
            <c:strRef>
              <c:f>'NFI Distribution by 12 Months'!$C$138</c:f>
              <c:strCache>
                <c:ptCount val="1"/>
                <c:pt idx="0">
                  <c:v>SCI</c:v>
                </c:pt>
              </c:strCache>
            </c:strRef>
          </c:tx>
          <c:spPr>
            <a:solidFill>
              <a:schemeClr val="accent4">
                <a:lumMod val="60000"/>
                <a:lumOff val="4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5"/>
          <c:order val="5"/>
          <c:tx>
            <c:strRef>
              <c:f>'NFI Distribution by 12 Months'!$C$139</c:f>
              <c:strCache>
                <c:ptCount val="1"/>
                <c:pt idx="0">
                  <c:v>SI</c:v>
                </c:pt>
              </c:strCache>
            </c:strRef>
          </c:tx>
          <c:spPr>
            <a:solidFill>
              <a:schemeClr val="accent6"/>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Months'!$C$140</c:f>
              <c:strCache>
                <c:ptCount val="1"/>
                <c:pt idx="0">
                  <c:v>UNHCR</c:v>
                </c:pt>
              </c:strCache>
            </c:strRef>
          </c:tx>
          <c:spPr>
            <a:solidFill>
              <a:schemeClr val="accent1">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8300</c:v>
                </c:pt>
                <c:pt idx="1">
                  <c:v>4843</c:v>
                </c:pt>
                <c:pt idx="2">
                  <c:v>8350</c:v>
                </c:pt>
                <c:pt idx="3">
                  <c:v>9640</c:v>
                </c:pt>
                <c:pt idx="4">
                  <c:v>0</c:v>
                </c:pt>
                <c:pt idx="5">
                  <c:v>8350</c:v>
                </c:pt>
                <c:pt idx="6">
                  <c:v>0</c:v>
                </c:pt>
                <c:pt idx="7">
                  <c:v>0</c:v>
                </c:pt>
                <c:pt idx="8">
                  <c:v>0</c:v>
                </c:pt>
                <c:pt idx="9">
                  <c:v>0</c:v>
                </c:pt>
                <c:pt idx="10">
                  <c:v>0</c:v>
                </c:pt>
                <c:pt idx="11">
                  <c:v>0</c:v>
                </c:pt>
              </c:numCache>
            </c:numRef>
          </c:val>
        </c:ser>
        <c:ser>
          <c:idx val="7"/>
          <c:order val="7"/>
          <c:tx>
            <c:strRef>
              <c:f>'NFI Distribution by 12 Months'!$C$141</c:f>
              <c:strCache>
                <c:ptCount val="1"/>
                <c:pt idx="0">
                  <c:v>UNICEF </c:v>
                </c:pt>
              </c:strCache>
            </c:strRef>
          </c:tx>
          <c:spPr>
            <a:solidFill>
              <a:schemeClr val="accent2">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Months'!$C$142</c:f>
              <c:strCache>
                <c:ptCount val="1"/>
                <c:pt idx="0">
                  <c:v>Oxfam</c:v>
                </c:pt>
              </c:strCache>
            </c:strRef>
          </c:tx>
          <c:spPr>
            <a:solidFill>
              <a:schemeClr val="accent3">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27904</c:v>
                </c:pt>
                <c:pt idx="11">
                  <c:v>0</c:v>
                </c:pt>
              </c:numCache>
            </c:numRef>
          </c:val>
        </c:ser>
        <c:ser>
          <c:idx val="9"/>
          <c:order val="9"/>
          <c:tx>
            <c:strRef>
              <c:f>'NFI Distribution by 12 Months'!$C$143</c:f>
              <c:strCache>
                <c:ptCount val="1"/>
                <c:pt idx="0">
                  <c:v>IRW</c:v>
                </c:pt>
              </c:strCache>
            </c:strRef>
          </c:tx>
          <c:spPr>
            <a:solidFill>
              <a:schemeClr val="accent4">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21"/>
        <c:overlap val="100"/>
        <c:axId val="629393680"/>
        <c:axId val="629394072"/>
        <c:extLst/>
      </c:barChart>
      <c:catAx>
        <c:axId val="629393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9394072"/>
        <c:crosses val="autoZero"/>
        <c:auto val="1"/>
        <c:lblAlgn val="ctr"/>
        <c:lblOffset val="100"/>
        <c:noMultiLvlLbl val="0"/>
      </c:catAx>
      <c:valAx>
        <c:axId val="629394072"/>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9393680"/>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7008661429024337"/>
          <c:y val="9.7105196900766577E-2"/>
          <c:w val="0.10597221534359129"/>
          <c:h val="0.75084496888075924"/>
        </c:manualLayout>
      </c:layout>
      <c:overlay val="0"/>
      <c:spPr>
        <a:solidFill>
          <a:schemeClr val="bg1"/>
        </a:solidFill>
        <a:ln>
          <a:solidFill>
            <a:schemeClr val="accent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17634</c:v>
                </c:pt>
                <c:pt idx="3">
                  <c:v>81657</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13072</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4665</c:v>
                </c:pt>
              </c:numCache>
            </c:numRef>
          </c:val>
        </c:ser>
        <c:dLbls>
          <c:showLegendKey val="0"/>
          <c:showVal val="0"/>
          <c:showCatName val="0"/>
          <c:showSerName val="0"/>
          <c:showPercent val="0"/>
          <c:showBubbleSize val="0"/>
        </c:dLbls>
        <c:gapWidth val="75"/>
        <c:overlap val="100"/>
        <c:axId val="420852504"/>
        <c:axId val="422255384"/>
      </c:barChart>
      <c:catAx>
        <c:axId val="420852504"/>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2255384"/>
        <c:crosses val="autoZero"/>
        <c:auto val="1"/>
        <c:lblAlgn val="ctr"/>
        <c:lblOffset val="100"/>
        <c:noMultiLvlLbl val="0"/>
      </c:catAx>
      <c:valAx>
        <c:axId val="422255384"/>
        <c:scaling>
          <c:orientation val="minMax"/>
        </c:scaling>
        <c:delete val="0"/>
        <c:axPos val="b"/>
        <c:majorGridlines/>
        <c:numFmt formatCode="#,##0" sourceLinked="0"/>
        <c:majorTickMark val="out"/>
        <c:minorTickMark val="none"/>
        <c:tickLblPos val="nextTo"/>
        <c:crossAx val="420852504"/>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117028</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22256168"/>
        <c:axId val="422256560"/>
      </c:barChart>
      <c:catAx>
        <c:axId val="422256168"/>
        <c:scaling>
          <c:orientation val="minMax"/>
        </c:scaling>
        <c:delete val="1"/>
        <c:axPos val="b"/>
        <c:numFmt formatCode="General" sourceLinked="0"/>
        <c:majorTickMark val="out"/>
        <c:minorTickMark val="none"/>
        <c:tickLblPos val="nextTo"/>
        <c:crossAx val="422256560"/>
        <c:crosses val="autoZero"/>
        <c:auto val="1"/>
        <c:lblAlgn val="ctr"/>
        <c:lblOffset val="100"/>
        <c:noMultiLvlLbl val="0"/>
      </c:catAx>
      <c:valAx>
        <c:axId val="422256560"/>
        <c:scaling>
          <c:orientation val="minMax"/>
          <c:max val="120000"/>
          <c:min val="0"/>
        </c:scaling>
        <c:delete val="0"/>
        <c:axPos val="l"/>
        <c:majorGridlines/>
        <c:numFmt formatCode="General" sourceLinked="1"/>
        <c:majorTickMark val="out"/>
        <c:minorTickMark val="none"/>
        <c:tickLblPos val="nextTo"/>
        <c:crossAx val="422256168"/>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103031</c:v>
                </c:pt>
                <c:pt idx="1">
                  <c:v>13618</c:v>
                </c:pt>
                <c:pt idx="2">
                  <c:v>6119</c:v>
                </c:pt>
                <c:pt idx="3">
                  <c:v>4665</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[11._shelter-nfi_cccm_rakhine_cluster_analysis_report_30_november_2018.xlsx]Camp Analysis!PivotTable13</c:name>
    <c:fmtId val="24"/>
  </c:pivotSource>
  <c:chart>
    <c:title>
      <c:tx>
        <c:rich>
          <a:bodyPr/>
          <a:lstStyle/>
          <a:p>
            <a:pPr>
              <a:defRPr/>
            </a:pPr>
            <a:r>
              <a:rPr lang="en-US"/>
              <a:t>Locations (24)</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12</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22258128"/>
        <c:axId val="422258520"/>
      </c:barChart>
      <c:catAx>
        <c:axId val="422258128"/>
        <c:scaling>
          <c:orientation val="minMax"/>
        </c:scaling>
        <c:delete val="1"/>
        <c:axPos val="r"/>
        <c:numFmt formatCode="General" sourceLinked="0"/>
        <c:majorTickMark val="none"/>
        <c:minorTickMark val="none"/>
        <c:tickLblPos val="nextTo"/>
        <c:crossAx val="422258520"/>
        <c:crosses val="autoZero"/>
        <c:auto val="1"/>
        <c:lblAlgn val="ctr"/>
        <c:lblOffset val="100"/>
        <c:noMultiLvlLbl val="0"/>
      </c:catAx>
      <c:valAx>
        <c:axId val="422258520"/>
        <c:scaling>
          <c:orientation val="maxMin"/>
        </c:scaling>
        <c:delete val="0"/>
        <c:axPos val="b"/>
        <c:majorGridlines/>
        <c:numFmt formatCode="General" sourceLinked="1"/>
        <c:majorTickMark val="none"/>
        <c:minorTickMark val="none"/>
        <c:tickLblPos val="nextTo"/>
        <c:spPr>
          <a:ln w="9525">
            <a:noFill/>
          </a:ln>
        </c:spPr>
        <c:crossAx val="422258128"/>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[11._shelter-nfi_cccm_rakhine_cluster_analysis_report_30_november_2018.xlsx]Camp Analysis!PivotTable14</c:name>
    <c:fmtId val="20"/>
  </c:pivotSource>
  <c:chart>
    <c:title>
      <c:tx>
        <c:rich>
          <a:bodyPr/>
          <a:lstStyle/>
          <a:p>
            <a:pPr>
              <a:defRPr sz="1200" b="1"/>
            </a:pPr>
            <a:r>
              <a:rPr lang="en-US" sz="1200" b="1"/>
              <a:t>IDP Population (127,433)</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17634</c:v>
                </c:pt>
                <c:pt idx="3">
                  <c:v>81657</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13072</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4665</c:v>
                </c:pt>
              </c:numCache>
            </c:numRef>
          </c:val>
        </c:ser>
        <c:dLbls>
          <c:showLegendKey val="0"/>
          <c:showVal val="0"/>
          <c:showCatName val="0"/>
          <c:showSerName val="0"/>
          <c:showPercent val="0"/>
          <c:showBubbleSize val="0"/>
        </c:dLbls>
        <c:gapWidth val="75"/>
        <c:overlap val="100"/>
        <c:axId val="421960408"/>
        <c:axId val="421960800"/>
      </c:barChart>
      <c:catAx>
        <c:axId val="421960408"/>
        <c:scaling>
          <c:orientation val="minMax"/>
        </c:scaling>
        <c:delete val="0"/>
        <c:axPos val="l"/>
        <c:numFmt formatCode="General" sourceLinked="0"/>
        <c:majorTickMark val="out"/>
        <c:minorTickMark val="none"/>
        <c:tickLblPos val="nextTo"/>
        <c:crossAx val="421960800"/>
        <c:crosses val="autoZero"/>
        <c:auto val="1"/>
        <c:lblAlgn val="ctr"/>
        <c:lblOffset val="100"/>
        <c:noMultiLvlLbl val="0"/>
      </c:catAx>
      <c:valAx>
        <c:axId val="421960800"/>
        <c:scaling>
          <c:orientation val="minMax"/>
        </c:scaling>
        <c:delete val="0"/>
        <c:axPos val="b"/>
        <c:majorGridlines/>
        <c:numFmt formatCode="#,##0" sourceLinked="0"/>
        <c:majorTickMark val="out"/>
        <c:minorTickMark val="none"/>
        <c:tickLblPos val="nextTo"/>
        <c:crossAx val="421960408"/>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103031</c:v>
                </c:pt>
                <c:pt idx="1">
                  <c:v>13618</c:v>
                </c:pt>
                <c:pt idx="2">
                  <c:v>6119</c:v>
                </c:pt>
                <c:pt idx="3">
                  <c:v>4665</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103031</c:v>
                </c:pt>
                <c:pt idx="1">
                  <c:v>13618</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169137</xdr:colOff>
      <xdr:row>1</xdr:row>
      <xdr:rowOff>272142</xdr:rowOff>
    </xdr:from>
    <xdr:to>
      <xdr:col>4</xdr:col>
      <xdr:colOff>6068784</xdr:colOff>
      <xdr:row>5</xdr:row>
      <xdr:rowOff>188322</xdr:rowOff>
    </xdr:to>
    <xdr:grpSp>
      <xdr:nvGrpSpPr>
        <xdr:cNvPr id="2" name="Group 1"/>
        <xdr:cNvGrpSpPr/>
      </xdr:nvGrpSpPr>
      <xdr:grpSpPr>
        <a:xfrm>
          <a:off x="4618673" y="394606"/>
          <a:ext cx="5899647" cy="814252"/>
          <a:chOff x="6500812" y="317500"/>
          <a:chExt cx="6186805"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548338" y="317500"/>
            <a:ext cx="3139279"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127,433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24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25,840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441181</xdr:colOff>
      <xdr:row>1</xdr:row>
      <xdr:rowOff>88934</xdr:rowOff>
    </xdr:from>
    <xdr:to>
      <xdr:col>6</xdr:col>
      <xdr:colOff>465426</xdr:colOff>
      <xdr:row>1</xdr:row>
      <xdr:rowOff>465426</xdr:rowOff>
    </xdr:to>
    <xdr:pic>
      <xdr:nvPicPr>
        <xdr:cNvPr id="10" name="Picture 9"/>
        <xdr:cNvPicPr>
          <a:picLocks noChangeAspect="1"/>
        </xdr:cNvPicPr>
      </xdr:nvPicPr>
      <xdr:blipFill>
        <a:blip xmlns:r="http://schemas.openxmlformats.org/officeDocument/2006/relationships" r:embed="rId1"/>
        <a:stretch>
          <a:fillRect/>
        </a:stretch>
      </xdr:blipFill>
      <xdr:spPr>
        <a:xfrm>
          <a:off x="3818226" y="99758"/>
          <a:ext cx="3347172" cy="376492"/>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32473</xdr:colOff>
      <xdr:row>1</xdr:row>
      <xdr:rowOff>103476</xdr:rowOff>
    </xdr:from>
    <xdr:to>
      <xdr:col>3</xdr:col>
      <xdr:colOff>162360</xdr:colOff>
      <xdr:row>1</xdr:row>
      <xdr:rowOff>508722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1337" y="114300"/>
          <a:ext cx="2208068" cy="40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465470"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144</xdr:row>
      <xdr:rowOff>107156</xdr:rowOff>
    </xdr:from>
    <xdr:to>
      <xdr:col>20</xdr:col>
      <xdr:colOff>47625</xdr:colOff>
      <xdr:row>153</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173090</xdr:rowOff>
    </xdr:from>
    <xdr:to>
      <xdr:col>14</xdr:col>
      <xdr:colOff>2313217</xdr:colOff>
      <xdr:row>4</xdr:row>
      <xdr:rowOff>280865</xdr:rowOff>
    </xdr:to>
    <xdr:grpSp>
      <xdr:nvGrpSpPr>
        <xdr:cNvPr id="22" name="Group 21"/>
        <xdr:cNvGrpSpPr/>
      </xdr:nvGrpSpPr>
      <xdr:grpSpPr>
        <a:xfrm>
          <a:off x="11995966" y="917994"/>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21058"/>
          <a:ext cx="18964518" cy="586153"/>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36635</xdr:colOff>
      <xdr:row>22</xdr:row>
      <xdr:rowOff>61055</xdr:rowOff>
    </xdr:from>
    <xdr:to>
      <xdr:col>6</xdr:col>
      <xdr:colOff>88228</xdr:colOff>
      <xdr:row>39</xdr:row>
      <xdr:rowOff>61057</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73269</xdr:rowOff>
    </xdr:from>
    <xdr:to>
      <xdr:col>14</xdr:col>
      <xdr:colOff>2796441</xdr:colOff>
      <xdr:row>39</xdr:row>
      <xdr:rowOff>73269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97693</xdr:colOff>
      <xdr:row>22</xdr:row>
      <xdr:rowOff>73268</xdr:rowOff>
    </xdr:from>
    <xdr:to>
      <xdr:col>11</xdr:col>
      <xdr:colOff>573943</xdr:colOff>
      <xdr:row>39</xdr:row>
      <xdr:rowOff>48845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36636</xdr:colOff>
      <xdr:row>5</xdr:row>
      <xdr:rowOff>12212</xdr:rowOff>
    </xdr:from>
    <xdr:to>
      <xdr:col>14</xdr:col>
      <xdr:colOff>2784232</xdr:colOff>
      <xdr:row>22</xdr:row>
      <xdr:rowOff>24424</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603655" y="1611924"/>
          <a:ext cx="5336442"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106700" y="495734"/>
          <a:ext cx="4584987"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3</xdr:row>
      <xdr:rowOff>217714</xdr:rowOff>
    </xdr:from>
    <xdr:to>
      <xdr:col>16</xdr:col>
      <xdr:colOff>306995</xdr:colOff>
      <xdr:row>22</xdr:row>
      <xdr:rowOff>163286</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83821"/>
          <a:ext cx="2898754" cy="453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127,433</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24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22299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100848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12</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897595" y="586443"/>
          <a:ext cx="5507068"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28</xdr:row>
      <xdr:rowOff>35719</xdr:rowOff>
    </xdr:from>
    <xdr:to>
      <xdr:col>31</xdr:col>
      <xdr:colOff>83344</xdr:colOff>
      <xdr:row>56</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444.570343865744" createdVersion="4" refreshedVersion="5" minRefreshableVersion="3" recordCount="171">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181"/>
    </cacheField>
    <cacheField name="Female" numFmtId="0">
      <sharedItems containsString="0" containsBlank="1" containsNumber="1" containsInteger="1" minValue="0" maxValue="961"/>
    </cacheField>
    <cacheField name="Total" numFmtId="0">
      <sharedItems containsSemiMixedTypes="0" containsString="0" containsNumber="1" containsInteger="1" minValue="0" maxValue="961"/>
    </cacheField>
    <cacheField name="Source" numFmtId="0">
      <sharedItems/>
    </cacheField>
    <cacheField name="Updated date" numFmtId="170">
      <sharedItems containsSemiMixedTypes="0" containsNonDate="0" containsDate="1" containsString="0" minDate="2018-09-30T00:00:00" maxDate="2018-11-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444.570345486114" createdVersion="5" refreshedVersion="5" minRefreshableVersion="3" recordCount="228">
  <cacheSource type="worksheet">
    <worksheetSource name="Data_Demography_t[[Township]:[Total]]"/>
  </cacheSource>
  <cacheFields count="6">
    <cacheField name="Township" numFmtId="0">
      <sharedItems count="3">
        <s v="Pauktaw"/>
        <s v="Sittwe"/>
        <s v="Myebon"/>
      </sharedItems>
    </cacheField>
    <cacheField name="Camp" numFmtId="0">
      <sharedItems count="20">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haung Doke Khar " u="1"/>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26" maxValue="197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444.57034583333" createdVersion="4" refreshedVersion="5" minRefreshableVersion="3" recordCount="22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7">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 v="Khaung Doke Khar "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26" maxValue="1975"/>
    </cacheField>
    <cacheField name="Total2" numFmtId="0">
      <sharedItems containsSemiMixedTypes="0" containsString="0" containsNumber="1" minValue="-1882" maxValue="1975"/>
    </cacheField>
    <cacheField name="Source" numFmtId="0">
      <sharedItems/>
    </cacheField>
    <cacheField name="Updated Date" numFmtId="170">
      <sharedItems containsSemiMixedTypes="0" containsNonDate="0" containsDate="1" containsString="0" minDate="2018-09-30T00:00:00" maxDate="2018-11-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444.570346180553"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Government"/>
        <s v="Self Constructed"/>
        <s v="IRW"/>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Myebon"/>
        <s v="Sittwe"/>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444.570347222223"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444.5703474537" createdVersion="4" refreshedVersion="5" minRefreshableVersion="3" recordCount="570">
  <cacheSource type="worksheet">
    <worksheetSource name="Data_NFI_t"/>
  </cacheSource>
  <cacheFields count="50">
    <cacheField name="Months" numFmtId="1">
      <sharedItems containsBlank="1" containsMixedTypes="1" containsNumber="1" minValue="0.76666666666666672" maxValue="78.233333333333334"/>
    </cacheField>
    <cacheField name="year" numFmtId="0">
      <sharedItems containsString="0" containsBlank="1" containsNumber="1" containsInteger="1" minValue="1900" maxValue="2018" count="9">
        <n v="2018"/>
        <n v="2017"/>
        <n v="2016"/>
        <n v="2015"/>
        <n v="2014"/>
        <n v="2013"/>
        <n v="2012"/>
        <m/>
        <n v="1900"/>
      </sharedItems>
    </cacheField>
    <cacheField name="Distribution Date" numFmtId="15">
      <sharedItems containsNonDate="0" containsDate="1" containsString="0" containsBlank="1" minDate="2012-06-27T00:00:00" maxDate="2018-11-08T00:00:00" count="281">
        <d v="2018-11-07T00:00:00"/>
        <d v="2018-11-06T00:00:00"/>
        <d v="2018-10-22T00:00:00"/>
        <d v="2018-10-11T00:00:00"/>
        <d v="2018-10-09T00:00:00"/>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11-08T00:00:00"/>
        <groupItems count="14">
          <s v="(blank)"/>
          <s v="Jan"/>
          <s v="Feb"/>
          <s v="Mar"/>
          <s v="Apr"/>
          <s v="May"/>
          <s v="Jun"/>
          <s v="Jul"/>
          <s v="Aug"/>
          <s v="Sep"/>
          <s v="Oct"/>
          <s v="Nov"/>
          <s v="Dec"/>
          <s v="&gt;08/11/2018"/>
        </groupItems>
      </fieldGroup>
    </cacheField>
    <cacheField name="Organization" numFmtId="0">
      <sharedItems containsBlank="1" count="30">
        <s v="UNHCR"/>
        <s v="DRC"/>
        <s v="LWF"/>
        <s v="NRC"/>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5486"/>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5486"/>
    </cacheField>
    <cacheField name="Kitchen Set" numFmtId="0">
      <sharedItems containsBlank="1" containsMixedTypes="1" containsNumber="1" containsInteger="1" minValue="0" maxValue="2743"/>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3715"/>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0"/>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5486"/>
    </cacheField>
    <cacheField name="Tarpaulin_LS" numFmtId="0">
      <sharedItems containsString="0" containsBlank="1" containsNumber="1" containsInteger="1" minValue="0" maxValue="2743"/>
    </cacheField>
    <cacheField name="Blanket_LS" numFmtId="0">
      <sharedItems containsString="0" containsBlank="1" containsNumber="1" containsInteger="1" minValue="0" maxValue="5486"/>
    </cacheField>
    <cacheField name="Kitchen Set_LS" numFmtId="0">
      <sharedItems containsString="0" containsBlank="1" containsNumber="1" containsInteger="1" minValue="0" maxValue="2743"/>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50"/>
    </cacheField>
    <cacheField name="Jerry Can_LS" numFmtId="0">
      <sharedItems containsString="0" containsBlank="1" containsNumber="1" containsInteger="1" minValue="0" maxValue="50"/>
    </cacheField>
    <cacheField name="Plastic  Mat_LS" numFmtId="0">
      <sharedItems containsString="0" containsBlank="1" containsNumber="1" minValue="0" maxValue="34287.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11-08T00:00:00"/>
        <groupItems count="9">
          <s v="&lt;27/06/2012"/>
          <s v="2012"/>
          <s v="2013"/>
          <s v="2014"/>
          <s v="2015"/>
          <s v="2016"/>
          <s v="2017"/>
          <s v="2018"/>
          <s v="&gt;08/11/2018"/>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53236921298" missingItemsLimit="0" createdVersion="4" refreshedVersion="5" minRefreshableVersion="3" recordCount="128">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7">
        <s v="Ah Nauk Ywe"/>
        <s v="Basare"/>
        <s v="Baw Du Pha (IDP in host families)"/>
        <s v="Baw Du Pha 1"/>
        <s v="Ramree Ward 6"/>
        <s v="Baw Du Pha 2"/>
        <s v="Dar Pai"/>
        <s v="Dar Pai (IDP in host families)"/>
        <s v="Nidin"/>
        <s v="Khaung Doke Khar 1"/>
        <s v="Khaung Doke Khar 2"/>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703"/>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1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Szilvia Heszler, Camp Management Project Manager_x000a_Sittwe, Myanmar_x000a_szilvia.heszler@nrc.no , Phone: + 95 (0) 9441612937_x000a_ _x000a_"/>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7">
          <x v="59"/>
          <x v="59"/>
          <x v="5"/>
          <x v="59"/>
          <x v="42"/>
          <x v="59"/>
          <x v="59"/>
          <x v="12"/>
          <x v="60"/>
          <x v="65"/>
          <x v="66"/>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7">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s v="Khaung Doke Khar 1"/>
          <s v="Khaung Doke Khar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71">
  <r>
    <s v="Rakhine"/>
    <x v="0"/>
    <s v="Ah Nauk Ywe"/>
    <s v="MMR012CMP016"/>
    <x v="0"/>
    <n v="19"/>
    <n v="13"/>
    <n v="32"/>
    <s v="LWF"/>
    <d v="2018-09-30T00:00:00"/>
  </r>
  <r>
    <s v="Rakhine"/>
    <x v="0"/>
    <s v="Ah Nauk Ywe"/>
    <s v="MMR012CMP016"/>
    <x v="1"/>
    <n v="5"/>
    <n v="5"/>
    <n v="10"/>
    <s v="LWF"/>
    <d v="2018-09-30T00:00:00"/>
  </r>
  <r>
    <s v="Rakhine"/>
    <x v="0"/>
    <s v="Ah Nauk Ywe"/>
    <s v="MMR012CMP016"/>
    <x v="2"/>
    <n v="6"/>
    <n v="8"/>
    <n v="14"/>
    <s v="LWF"/>
    <d v="2018-09-30T00:00:00"/>
  </r>
  <r>
    <s v="Rakhine"/>
    <x v="0"/>
    <s v="Ah Nauk Ywe"/>
    <s v="MMR012CMP016"/>
    <x v="3"/>
    <n v="0"/>
    <n v="0"/>
    <n v="0"/>
    <s v="LWF"/>
    <d v="2018-09-30T00:00:00"/>
  </r>
  <r>
    <s v="Rakhine"/>
    <x v="0"/>
    <s v="Ah Nauk Ywe"/>
    <s v="MMR012CMP016"/>
    <x v="4"/>
    <n v="0"/>
    <n v="0"/>
    <n v="0"/>
    <s v="LWF"/>
    <d v="2018-09-30T00:00:00"/>
  </r>
  <r>
    <s v="Rakhine"/>
    <x v="0"/>
    <s v="Ah Nauk Ywe"/>
    <s v="MMR012CMP016"/>
    <x v="5"/>
    <n v="49"/>
    <n v="33"/>
    <n v="82"/>
    <s v="LWF"/>
    <d v="2018-09-30T00:00:00"/>
  </r>
  <r>
    <s v="Rakhine"/>
    <x v="0"/>
    <s v="Ah Nauk Ywe"/>
    <s v="MMR012CMP016"/>
    <x v="6"/>
    <n v="0"/>
    <n v="143"/>
    <n v="143"/>
    <s v="LWF"/>
    <d v="2018-09-30T00:00:00"/>
  </r>
  <r>
    <s v="Rakhine"/>
    <x v="0"/>
    <s v="Ah Nauk Ywe"/>
    <s v="MMR012CMP016"/>
    <x v="7"/>
    <m/>
    <n v="112"/>
    <n v="112"/>
    <s v="LWF"/>
    <d v="2018-09-30T00:00:00"/>
  </r>
  <r>
    <s v="Rakhine"/>
    <x v="0"/>
    <s v="Ah Nauk Ywe"/>
    <s v="MMR012CMP016"/>
    <x v="8"/>
    <m/>
    <n v="320"/>
    <n v="320"/>
    <s v="LWF"/>
    <d v="2018-09-30T00:00:00"/>
  </r>
  <r>
    <s v="Rakhine"/>
    <x v="1"/>
    <s v="Basare"/>
    <s v="MMR012CMP039"/>
    <x v="0"/>
    <n v="44"/>
    <n v="24"/>
    <n v="68"/>
    <s v="LWF"/>
    <d v="2018-09-30T00:00:00"/>
  </r>
  <r>
    <s v="Rakhine"/>
    <x v="1"/>
    <s v="Basare"/>
    <s v="MMR012CMP039"/>
    <x v="1"/>
    <n v="9"/>
    <n v="6"/>
    <n v="15"/>
    <s v="LWF"/>
    <d v="2018-09-30T00:00:00"/>
  </r>
  <r>
    <s v="Rakhine"/>
    <x v="1"/>
    <s v="Basare"/>
    <s v="MMR012CMP039"/>
    <x v="2"/>
    <n v="3"/>
    <n v="2"/>
    <n v="5"/>
    <s v="LWF"/>
    <d v="2018-09-30T00:00:00"/>
  </r>
  <r>
    <s v="Rakhine"/>
    <x v="1"/>
    <s v="Basare"/>
    <s v="MMR012CMP039"/>
    <x v="3"/>
    <n v="0"/>
    <n v="0"/>
    <n v="0"/>
    <s v="LWF"/>
    <d v="2018-09-30T00:00:00"/>
  </r>
  <r>
    <s v="Rakhine"/>
    <x v="1"/>
    <s v="Basare"/>
    <s v="MMR012CMP039"/>
    <x v="4"/>
    <n v="0"/>
    <n v="0"/>
    <n v="0"/>
    <s v="LWF"/>
    <d v="2018-09-30T00:00:00"/>
  </r>
  <r>
    <s v="Rakhine"/>
    <x v="1"/>
    <s v="Basare"/>
    <s v="MMR012CMP039"/>
    <x v="5"/>
    <n v="44"/>
    <n v="59"/>
    <n v="103"/>
    <s v="LWF"/>
    <d v="2018-09-30T00:00:00"/>
  </r>
  <r>
    <s v="Rakhine"/>
    <x v="1"/>
    <s v="Basare"/>
    <s v="MMR012CMP039"/>
    <x v="6"/>
    <n v="2"/>
    <n v="44"/>
    <n v="46"/>
    <s v="LWF"/>
    <d v="2018-09-30T00:00:00"/>
  </r>
  <r>
    <s v="Rakhine"/>
    <x v="1"/>
    <s v="Basare"/>
    <s v="MMR012CMP039"/>
    <x v="7"/>
    <m/>
    <n v="46"/>
    <n v="46"/>
    <s v="LWF"/>
    <d v="2018-09-30T00:00:00"/>
  </r>
  <r>
    <s v="Rakhine"/>
    <x v="1"/>
    <s v="Basare"/>
    <s v="MMR012CMP039"/>
    <x v="8"/>
    <m/>
    <n v="96"/>
    <n v="96"/>
    <s v="LWF"/>
    <d v="2018-09-30T00:00:00"/>
  </r>
  <r>
    <s v="Rakhine"/>
    <x v="1"/>
    <s v="Baw Du Pha 1"/>
    <s v="MMR012CMP113"/>
    <x v="0"/>
    <n v="38"/>
    <n v="61"/>
    <n v="99"/>
    <s v="DRC"/>
    <d v="2018-09-30T00:00:00"/>
  </r>
  <r>
    <s v="Rakhine"/>
    <x v="1"/>
    <s v="Baw Du Pha 1"/>
    <s v="MMR012CMP113"/>
    <x v="1"/>
    <m/>
    <m/>
    <n v="0"/>
    <s v="DRC"/>
    <d v="2018-09-30T00:00:00"/>
  </r>
  <r>
    <s v="Rakhine"/>
    <x v="1"/>
    <s v="Baw Du Pha 1"/>
    <s v="MMR012CMP113"/>
    <x v="2"/>
    <n v="11"/>
    <n v="10"/>
    <n v="33"/>
    <s v="DRC"/>
    <d v="2018-09-30T00:00:00"/>
  </r>
  <r>
    <s v="Rakhine"/>
    <x v="1"/>
    <s v="Baw Du Pha 1"/>
    <s v="MMR012CMP113"/>
    <x v="3"/>
    <m/>
    <m/>
    <n v="0"/>
    <s v="DRC"/>
    <d v="2018-09-30T00:00:00"/>
  </r>
  <r>
    <s v="Rakhine"/>
    <x v="1"/>
    <s v="Baw Du Pha 1"/>
    <s v="MMR012CMP113"/>
    <x v="4"/>
    <m/>
    <m/>
    <n v="0"/>
    <s v="DRC"/>
    <d v="2018-09-30T00:00:00"/>
  </r>
  <r>
    <s v="Rakhine"/>
    <x v="1"/>
    <s v="Baw Du Pha 1"/>
    <s v="MMR012CMP113"/>
    <x v="5"/>
    <m/>
    <m/>
    <n v="40"/>
    <s v="DRC"/>
    <d v="2018-09-30T00:00:00"/>
  </r>
  <r>
    <s v="Rakhine"/>
    <x v="1"/>
    <s v="Baw Du Pha 1"/>
    <s v="MMR012CMP113"/>
    <x v="6"/>
    <m/>
    <n v="85"/>
    <n v="85"/>
    <s v="DRC"/>
    <d v="2018-09-30T00:00:00"/>
  </r>
  <r>
    <s v="Rakhine"/>
    <x v="1"/>
    <s v="Baw Du Pha 1"/>
    <s v="MMR012CMP113"/>
    <x v="7"/>
    <m/>
    <n v="69"/>
    <n v="69"/>
    <s v="DRC"/>
    <d v="2018-09-30T00:00:00"/>
  </r>
  <r>
    <s v="Rakhine"/>
    <x v="1"/>
    <s v="Baw Du Pha 1"/>
    <s v="MMR012CMP113"/>
    <x v="8"/>
    <m/>
    <n v="254"/>
    <n v="254"/>
    <s v="DRC"/>
    <d v="2018-09-30T00:00:00"/>
  </r>
  <r>
    <s v="Rakhine"/>
    <x v="1"/>
    <s v="Baw Du Pha 2"/>
    <s v="MMR012CMP114"/>
    <x v="0"/>
    <n v="64"/>
    <n v="67"/>
    <n v="131"/>
    <s v="DRC"/>
    <d v="2018-09-30T00:00:00"/>
  </r>
  <r>
    <s v="Rakhine"/>
    <x v="1"/>
    <s v="Baw Du Pha 2"/>
    <s v="MMR012CMP114"/>
    <x v="1"/>
    <m/>
    <m/>
    <n v="0"/>
    <s v="DRC"/>
    <d v="2018-09-30T00:00:00"/>
  </r>
  <r>
    <s v="Rakhine"/>
    <x v="1"/>
    <s v="Baw Du Pha 2"/>
    <s v="MMR012CMP114"/>
    <x v="2"/>
    <n v="39"/>
    <n v="28"/>
    <n v="67"/>
    <s v="DRC"/>
    <d v="2018-09-30T00:00:00"/>
  </r>
  <r>
    <s v="Rakhine"/>
    <x v="1"/>
    <s v="Baw Du Pha 2"/>
    <s v="MMR012CMP114"/>
    <x v="3"/>
    <m/>
    <n v="18"/>
    <n v="18"/>
    <s v="DRC"/>
    <d v="2018-09-30T00:00:00"/>
  </r>
  <r>
    <s v="Rakhine"/>
    <x v="1"/>
    <s v="Baw Du Pha 2"/>
    <s v="MMR012CMP114"/>
    <x v="4"/>
    <m/>
    <n v="18"/>
    <n v="18"/>
    <s v="DRC"/>
    <d v="2018-09-30T00:00:00"/>
  </r>
  <r>
    <s v="Rakhine"/>
    <x v="1"/>
    <s v="Baw Du Pha 2"/>
    <s v="MMR012CMP114"/>
    <x v="5"/>
    <n v="104"/>
    <n v="0"/>
    <n v="104"/>
    <s v="DRC"/>
    <d v="2018-09-30T00:00:00"/>
  </r>
  <r>
    <s v="Rakhine"/>
    <x v="1"/>
    <s v="Baw Du Pha 2"/>
    <s v="MMR012CMP114"/>
    <x v="6"/>
    <n v="181"/>
    <n v="66"/>
    <n v="247"/>
    <s v="DRC"/>
    <d v="2018-09-30T00:00:00"/>
  </r>
  <r>
    <s v="Rakhine"/>
    <x v="1"/>
    <s v="Baw Du Pha 2"/>
    <s v="MMR012CMP114"/>
    <x v="7"/>
    <m/>
    <n v="90"/>
    <n v="90"/>
    <s v="DRC"/>
    <d v="2018-09-30T00:00:00"/>
  </r>
  <r>
    <s v="Rakhine"/>
    <x v="1"/>
    <s v="Baw Du Pha 2"/>
    <s v="MMR012CMP114"/>
    <x v="8"/>
    <m/>
    <n v="340"/>
    <n v="340"/>
    <s v="DRC"/>
    <d v="2018-09-30T00:00:00"/>
  </r>
  <r>
    <s v="Rakhine"/>
    <x v="1"/>
    <s v="Dar Pai"/>
    <s v="MMR012CMP041"/>
    <x v="0"/>
    <n v="100"/>
    <n v="135"/>
    <n v="235"/>
    <s v="DRC"/>
    <d v="2018-09-30T00:00:00"/>
  </r>
  <r>
    <s v="Rakhine"/>
    <x v="1"/>
    <s v="Dar Pai"/>
    <s v="MMR012CMP041"/>
    <x v="1"/>
    <n v="0"/>
    <n v="0"/>
    <n v="0"/>
    <s v="DRC"/>
    <d v="2018-09-30T00:00:00"/>
  </r>
  <r>
    <s v="Rakhine"/>
    <x v="1"/>
    <s v="Dar Pai"/>
    <s v="MMR012CMP041"/>
    <x v="2"/>
    <n v="30"/>
    <n v="33"/>
    <n v="63"/>
    <s v="DRC"/>
    <d v="2018-09-30T00:00:00"/>
  </r>
  <r>
    <s v="Rakhine"/>
    <x v="1"/>
    <s v="Dar Pai"/>
    <s v="MMR012CMP041"/>
    <x v="3"/>
    <n v="0"/>
    <n v="0"/>
    <n v="0"/>
    <s v="DRC"/>
    <d v="2018-09-30T00:00:00"/>
  </r>
  <r>
    <s v="Rakhine"/>
    <x v="1"/>
    <s v="Dar Pai"/>
    <s v="MMR012CMP041"/>
    <x v="4"/>
    <n v="0"/>
    <n v="0"/>
    <n v="0"/>
    <s v="DRC"/>
    <d v="2018-09-30T00:00:00"/>
  </r>
  <r>
    <s v="Rakhine"/>
    <x v="1"/>
    <s v="Dar Pai"/>
    <s v="MMR012CMP041"/>
    <x v="5"/>
    <n v="140"/>
    <n v="74"/>
    <n v="214"/>
    <s v="DRC"/>
    <d v="2018-09-30T00:00:00"/>
  </r>
  <r>
    <s v="Rakhine"/>
    <x v="1"/>
    <s v="Dar Pai"/>
    <s v="MMR012CMP041"/>
    <x v="6"/>
    <n v="0"/>
    <n v="0"/>
    <n v="0"/>
    <s v="DRC"/>
    <d v="2018-09-30T00:00:00"/>
  </r>
  <r>
    <s v="Rakhine"/>
    <x v="1"/>
    <s v="Dar Pai"/>
    <s v="MMR012CMP041"/>
    <x v="7"/>
    <m/>
    <n v="127"/>
    <n v="127"/>
    <s v="DRC"/>
    <d v="2018-09-30T00:00:00"/>
  </r>
  <r>
    <s v="Rakhine"/>
    <x v="1"/>
    <s v="Dar Pai"/>
    <s v="MMR012CMP041"/>
    <x v="8"/>
    <m/>
    <n v="406"/>
    <n v="406"/>
    <s v="DRC"/>
    <d v="2018-09-30T00:00:00"/>
  </r>
  <r>
    <s v="Rakhine"/>
    <x v="1"/>
    <s v="Khaung Doke Khar 1"/>
    <s v="MMR012CMP042"/>
    <x v="0"/>
    <n v="15"/>
    <n v="14"/>
    <n v="29"/>
    <s v="LWF"/>
    <d v="2018-09-30T00:00:00"/>
  </r>
  <r>
    <s v="Rakhine"/>
    <x v="1"/>
    <s v="Khaung Doke Khar 1"/>
    <s v="MMR012CMP042"/>
    <x v="1"/>
    <n v="5"/>
    <n v="4"/>
    <n v="9"/>
    <s v="LWF"/>
    <d v="2018-09-30T00:00:00"/>
  </r>
  <r>
    <s v="Rakhine"/>
    <x v="1"/>
    <s v="Khaung Doke Khar 1"/>
    <s v="MMR012CMP042"/>
    <x v="2"/>
    <n v="2"/>
    <n v="8"/>
    <n v="10"/>
    <s v="LWF"/>
    <d v="2018-09-30T00:00:00"/>
  </r>
  <r>
    <s v="Rakhine"/>
    <x v="1"/>
    <s v="Khaung Doke Khar 1"/>
    <s v="MMR012CMP042"/>
    <x v="3"/>
    <n v="0"/>
    <n v="0"/>
    <n v="0"/>
    <s v="LWF"/>
    <d v="2018-09-30T00:00:00"/>
  </r>
  <r>
    <s v="Rakhine"/>
    <x v="1"/>
    <s v="Khaung Doke Khar 1"/>
    <s v="MMR012CMP042"/>
    <x v="4"/>
    <n v="0"/>
    <n v="0"/>
    <n v="0"/>
    <s v="LWF"/>
    <d v="2018-09-30T00:00:00"/>
  </r>
  <r>
    <s v="Rakhine"/>
    <x v="1"/>
    <s v="Khaung Doke Khar 1"/>
    <s v="MMR012CMP042"/>
    <x v="5"/>
    <n v="24"/>
    <n v="29"/>
    <n v="53"/>
    <s v="LWF"/>
    <d v="2018-09-30T00:00:00"/>
  </r>
  <r>
    <s v="Rakhine"/>
    <x v="1"/>
    <s v="Khaung Doke Khar 1"/>
    <s v="MMR012CMP042"/>
    <x v="6"/>
    <n v="1"/>
    <n v="67"/>
    <n v="68"/>
    <s v="LWF"/>
    <d v="2018-09-30T00:00:00"/>
  </r>
  <r>
    <s v="Rakhine"/>
    <x v="1"/>
    <s v="Khaung Doke Khar 1"/>
    <s v="MMR012CMP042"/>
    <x v="7"/>
    <m/>
    <n v="42"/>
    <n v="42"/>
    <s v="LWF"/>
    <d v="2018-09-30T00:00:00"/>
  </r>
  <r>
    <s v="Rakhine"/>
    <x v="1"/>
    <s v="Khaung Doke Khar 1"/>
    <s v="MMR012CMP042"/>
    <x v="8"/>
    <m/>
    <n v="148"/>
    <n v="148"/>
    <s v="LWF"/>
    <d v="2018-09-30T00:00:00"/>
  </r>
  <r>
    <s v="Rakhine"/>
    <x v="1"/>
    <s v="Khaung Doke Khar 2"/>
    <s v="MMR012CMP042"/>
    <x v="0"/>
    <n v="31"/>
    <n v="40"/>
    <n v="71"/>
    <s v="LWF"/>
    <d v="2018-09-30T00:00:00"/>
  </r>
  <r>
    <s v="Rakhine"/>
    <x v="1"/>
    <s v="Khaung Doke Khar 2"/>
    <s v="MMR012CMP042"/>
    <x v="1"/>
    <n v="3"/>
    <n v="10"/>
    <n v="13"/>
    <s v="LWF"/>
    <d v="2018-09-30T00:00:00"/>
  </r>
  <r>
    <s v="Rakhine"/>
    <x v="1"/>
    <s v="Khaung Doke Khar 2"/>
    <s v="MMR012CMP042"/>
    <x v="2"/>
    <n v="0"/>
    <n v="0"/>
    <n v="0"/>
    <s v="LWF"/>
    <d v="2018-09-30T00:00:00"/>
  </r>
  <r>
    <s v="Rakhine"/>
    <x v="1"/>
    <s v="Khaung Doke Khar 2"/>
    <s v="MMR012CMP042"/>
    <x v="3"/>
    <n v="0"/>
    <n v="0"/>
    <n v="0"/>
    <s v="LWF"/>
    <d v="2018-09-30T00:00:00"/>
  </r>
  <r>
    <s v="Rakhine"/>
    <x v="1"/>
    <s v="Khaung Doke Khar 2"/>
    <s v="MMR012CMP042"/>
    <x v="4"/>
    <n v="0"/>
    <n v="0"/>
    <n v="0"/>
    <s v="LWF"/>
    <d v="2018-09-30T00:00:00"/>
  </r>
  <r>
    <s v="Rakhine"/>
    <x v="1"/>
    <s v="Khaung Doke Khar 2"/>
    <s v="MMR012CMP042"/>
    <x v="5"/>
    <n v="34"/>
    <n v="29"/>
    <n v="63"/>
    <s v="LWF"/>
    <d v="2018-09-30T00:00:00"/>
  </r>
  <r>
    <s v="Rakhine"/>
    <x v="1"/>
    <s v="Khaung Doke Khar 2"/>
    <s v="MMR012CMP042"/>
    <x v="6"/>
    <n v="0"/>
    <n v="59"/>
    <n v="59"/>
    <s v="LWF"/>
    <d v="2018-09-30T00:00:00"/>
  </r>
  <r>
    <s v="Rakhine"/>
    <x v="1"/>
    <s v="Khaung Doke Khar 2"/>
    <s v="MMR012CMP042"/>
    <x v="7"/>
    <m/>
    <n v="31"/>
    <n v="31"/>
    <s v="LWF"/>
    <d v="2018-09-30T00:00:00"/>
  </r>
  <r>
    <s v="Rakhine"/>
    <x v="1"/>
    <s v="Khaung Doke Khar 2"/>
    <s v="MMR012CMP042"/>
    <x v="8"/>
    <m/>
    <n v="96"/>
    <n v="96"/>
    <s v="LWF"/>
    <d v="2018-09-30T00:00:00"/>
  </r>
  <r>
    <s v="Rakhine"/>
    <x v="0"/>
    <s v="Kyein Ni Pyin"/>
    <s v="MMR012CMP018"/>
    <x v="0"/>
    <n v="94"/>
    <n v="97"/>
    <n v="191"/>
    <s v="DRC"/>
    <d v="2018-09-30T00:00:00"/>
  </r>
  <r>
    <s v="Rakhine"/>
    <x v="0"/>
    <s v="Kyein Ni Pyin"/>
    <s v="MMR012CMP018"/>
    <x v="1"/>
    <m/>
    <n v="0"/>
    <n v="0"/>
    <s v="DRC"/>
    <d v="2018-09-30T00:00:00"/>
  </r>
  <r>
    <s v="Rakhine"/>
    <x v="0"/>
    <s v="Kyein Ni Pyin"/>
    <s v="MMR012CMP018"/>
    <x v="2"/>
    <n v="14"/>
    <n v="14"/>
    <n v="28"/>
    <s v="DRC"/>
    <d v="2018-09-30T00:00:00"/>
  </r>
  <r>
    <s v="Rakhine"/>
    <x v="0"/>
    <s v="Kyein Ni Pyin"/>
    <s v="MMR012CMP018"/>
    <x v="3"/>
    <m/>
    <m/>
    <n v="0"/>
    <s v="DRC"/>
    <d v="2018-09-30T00:00:00"/>
  </r>
  <r>
    <s v="Rakhine"/>
    <x v="0"/>
    <s v="Kyein Ni Pyin"/>
    <s v="MMR012CMP018"/>
    <x v="4"/>
    <m/>
    <m/>
    <n v="0"/>
    <s v="DRC"/>
    <d v="2018-09-30T00:00:00"/>
  </r>
  <r>
    <s v="Rakhine"/>
    <x v="0"/>
    <s v="Kyein Ni Pyin"/>
    <s v="MMR012CMP018"/>
    <x v="5"/>
    <n v="21"/>
    <n v="4"/>
    <n v="25"/>
    <s v="DRC"/>
    <d v="2018-09-30T00:00:00"/>
  </r>
  <r>
    <s v="Rakhine"/>
    <x v="0"/>
    <s v="Kyein Ni Pyin"/>
    <s v="MMR012CMP018"/>
    <x v="6"/>
    <m/>
    <m/>
    <n v="0"/>
    <s v="DRC"/>
    <d v="2018-09-30T00:00:00"/>
  </r>
  <r>
    <s v="Rakhine"/>
    <x v="0"/>
    <s v="Kyein Ni Pyin"/>
    <s v="MMR012CMP018"/>
    <x v="7"/>
    <m/>
    <n v="192"/>
    <n v="192"/>
    <s v="DRC"/>
    <d v="2018-09-30T00:00:00"/>
  </r>
  <r>
    <s v="Rakhine"/>
    <x v="0"/>
    <s v="Kyein Ni Pyin"/>
    <s v="MMR012CMP018"/>
    <x v="8"/>
    <m/>
    <n v="583"/>
    <n v="583"/>
    <s v="DRC"/>
    <d v="2018-09-30T00:00:00"/>
  </r>
  <r>
    <s v="Rakhine"/>
    <x v="1"/>
    <s v="Maw Ti Ngar"/>
    <s v="MMR012CMP092"/>
    <x v="0"/>
    <n v="14"/>
    <n v="19"/>
    <n v="33"/>
    <s v="NRC"/>
    <d v="2018-10-31T00:00:00"/>
  </r>
  <r>
    <s v="Rakhine"/>
    <x v="1"/>
    <s v="Maw Ti Ngar"/>
    <s v="MMR012CMP092"/>
    <x v="1"/>
    <n v="9"/>
    <n v="7"/>
    <n v="16"/>
    <s v="NRC"/>
    <d v="2018-10-31T00:00:00"/>
  </r>
  <r>
    <s v="Rakhine"/>
    <x v="1"/>
    <s v="Maw Ti Ngar"/>
    <s v="MMR012CMP092"/>
    <x v="2"/>
    <n v="12"/>
    <n v="16"/>
    <n v="28"/>
    <s v="NRC"/>
    <d v="2018-10-31T00:00:00"/>
  </r>
  <r>
    <s v="Rakhine"/>
    <x v="1"/>
    <s v="Maw Ti Ngar"/>
    <s v="MMR012CMP092"/>
    <x v="3"/>
    <n v="11"/>
    <n v="9"/>
    <n v="20"/>
    <s v="NRC"/>
    <d v="2018-10-31T00:00:00"/>
  </r>
  <r>
    <s v="Rakhine"/>
    <x v="1"/>
    <s v="Maw Ti Ngar"/>
    <s v="MMR012CMP092"/>
    <x v="4"/>
    <n v="2"/>
    <n v="3"/>
    <n v="5"/>
    <s v="NRC"/>
    <d v="2018-10-31T00:00:00"/>
  </r>
  <r>
    <s v="Rakhine"/>
    <x v="1"/>
    <s v="Maw Ti Ngar"/>
    <s v="MMR012CMP092"/>
    <x v="5"/>
    <n v="9"/>
    <n v="18"/>
    <n v="27"/>
    <s v="NRC"/>
    <d v="2018-10-31T00:00:00"/>
  </r>
  <r>
    <s v="Rakhine"/>
    <x v="1"/>
    <s v="Maw Ti Ngar"/>
    <s v="MMR012CMP092"/>
    <x v="6"/>
    <n v="5"/>
    <n v="59"/>
    <n v="64"/>
    <s v="NRC"/>
    <d v="2018-10-31T00:00:00"/>
  </r>
  <r>
    <s v="Rakhine"/>
    <x v="1"/>
    <s v="Maw Ti Ngar"/>
    <s v="MMR012CMP092"/>
    <x v="7"/>
    <m/>
    <n v="41"/>
    <n v="41"/>
    <s v="NRC"/>
    <d v="2018-10-31T00:00:00"/>
  </r>
  <r>
    <s v="Rakhine"/>
    <x v="1"/>
    <s v="Maw Ti Ngar"/>
    <s v="MMR012CMP092"/>
    <x v="8"/>
    <m/>
    <n v="210"/>
    <n v="210"/>
    <s v="NRC"/>
    <d v="2018-10-31T00:00:00"/>
  </r>
  <r>
    <s v="Rakhine"/>
    <x v="0"/>
    <s v="Nget Chaung 2"/>
    <s v="MMR012CMP017"/>
    <x v="0"/>
    <n v="37"/>
    <n v="44"/>
    <n v="81"/>
    <s v="LWF"/>
    <d v="2018-09-30T00:00:00"/>
  </r>
  <r>
    <s v="Rakhine"/>
    <x v="0"/>
    <s v="Nget Chaung 2"/>
    <s v="MMR012CMP017"/>
    <x v="1"/>
    <n v="3"/>
    <n v="4"/>
    <n v="7"/>
    <s v="LWF"/>
    <d v="2018-09-30T00:00:00"/>
  </r>
  <r>
    <s v="Rakhine"/>
    <x v="0"/>
    <s v="Nget Chaung 2"/>
    <s v="MMR012CMP017"/>
    <x v="2"/>
    <n v="12"/>
    <n v="6"/>
    <n v="18"/>
    <s v="LWF"/>
    <d v="2018-09-30T00:00:00"/>
  </r>
  <r>
    <s v="Rakhine"/>
    <x v="0"/>
    <s v="Nget Chaung 2"/>
    <s v="MMR012CMP017"/>
    <x v="3"/>
    <n v="3"/>
    <n v="5"/>
    <n v="8"/>
    <s v="LWF"/>
    <d v="2018-09-30T00:00:00"/>
  </r>
  <r>
    <s v="Rakhine"/>
    <x v="0"/>
    <s v="Nget Chaung 2"/>
    <s v="MMR012CMP017"/>
    <x v="4"/>
    <n v="6"/>
    <n v="8"/>
    <n v="14"/>
    <s v="LWF"/>
    <d v="2018-09-30T00:00:00"/>
  </r>
  <r>
    <s v="Rakhine"/>
    <x v="0"/>
    <s v="Nget Chaung 2"/>
    <s v="MMR012CMP017"/>
    <x v="5"/>
    <n v="45"/>
    <n v="33"/>
    <n v="78"/>
    <s v="LWF"/>
    <d v="2018-09-30T00:00:00"/>
  </r>
  <r>
    <s v="Rakhine"/>
    <x v="0"/>
    <s v="Nget Chaung 2"/>
    <s v="MMR012CMP017"/>
    <x v="6"/>
    <n v="6"/>
    <n v="110"/>
    <n v="116"/>
    <s v="LWF"/>
    <d v="2018-09-30T00:00:00"/>
  </r>
  <r>
    <s v="Rakhine"/>
    <x v="0"/>
    <s v="Nget Chaung 2"/>
    <s v="MMR012CMP017"/>
    <x v="7"/>
    <m/>
    <n v="163"/>
    <n v="163"/>
    <s v="LWF"/>
    <d v="2018-09-30T00:00:00"/>
  </r>
  <r>
    <s v="Rakhine"/>
    <x v="0"/>
    <s v="Nget Chaung 2"/>
    <s v="MMR012CMP017"/>
    <x v="8"/>
    <m/>
    <n v="299"/>
    <n v="299"/>
    <s v="LWF"/>
    <d v="2018-09-30T00:00:00"/>
  </r>
  <r>
    <s v="Rakhine"/>
    <x v="1"/>
    <s v="Ohn Taw Chay"/>
    <s v="MMR012CMP098"/>
    <x v="0"/>
    <n v="36"/>
    <n v="41"/>
    <n v="77"/>
    <s v="DRC"/>
    <d v="2018-09-30T00:00:00"/>
  </r>
  <r>
    <s v="Rakhine"/>
    <x v="1"/>
    <s v="Ohn Taw Chay"/>
    <s v="MMR012CMP098"/>
    <x v="1"/>
    <m/>
    <m/>
    <n v="0"/>
    <s v="DRC"/>
    <d v="2018-09-30T00:00:00"/>
  </r>
  <r>
    <s v="Rakhine"/>
    <x v="1"/>
    <s v="Ohn Taw Chay"/>
    <s v="MMR012CMP098"/>
    <x v="2"/>
    <n v="42"/>
    <n v="31"/>
    <n v="73"/>
    <s v="DRC"/>
    <d v="2018-09-30T00:00:00"/>
  </r>
  <r>
    <s v="Rakhine"/>
    <x v="1"/>
    <s v="Ohn Taw Chay"/>
    <s v="MMR012CMP098"/>
    <x v="3"/>
    <m/>
    <m/>
    <n v="0"/>
    <s v="DRC"/>
    <d v="2018-09-30T00:00:00"/>
  </r>
  <r>
    <s v="Rakhine"/>
    <x v="1"/>
    <s v="Ohn Taw Chay"/>
    <s v="MMR012CMP098"/>
    <x v="4"/>
    <m/>
    <m/>
    <n v="0"/>
    <s v="DRC"/>
    <d v="2018-09-30T00:00:00"/>
  </r>
  <r>
    <s v="Rakhine"/>
    <x v="1"/>
    <s v="Ohn Taw Chay"/>
    <s v="MMR012CMP098"/>
    <x v="5"/>
    <n v="19"/>
    <n v="31"/>
    <n v="50"/>
    <s v="DRC"/>
    <d v="2018-09-30T00:00:00"/>
  </r>
  <r>
    <s v="Rakhine"/>
    <x v="1"/>
    <s v="Ohn Taw Chay"/>
    <s v="MMR012CMP098"/>
    <x v="6"/>
    <m/>
    <m/>
    <n v="0"/>
    <s v="DRC"/>
    <d v="2018-09-30T00:00:00"/>
  </r>
  <r>
    <s v="Rakhine"/>
    <x v="1"/>
    <s v="Ohn Taw Chay"/>
    <s v="MMR012CMP098"/>
    <x v="7"/>
    <m/>
    <n v="68"/>
    <n v="68"/>
    <s v="DRC"/>
    <d v="2018-09-30T00:00:00"/>
  </r>
  <r>
    <s v="Rakhine"/>
    <x v="1"/>
    <s v="Ohn Taw Chay"/>
    <s v="MMR012CMP098"/>
    <x v="8"/>
    <m/>
    <n v="99"/>
    <n v="99"/>
    <s v="DRC"/>
    <d v="2018-09-30T00:00:00"/>
  </r>
  <r>
    <s v="Rakhine"/>
    <x v="1"/>
    <s v="Ohn Taw Gyi (North)"/>
    <s v="MMR012CMP115"/>
    <x v="0"/>
    <n v="127"/>
    <n v="146"/>
    <n v="273"/>
    <s v="DRC"/>
    <d v="2018-09-30T00:00:00"/>
  </r>
  <r>
    <s v="Rakhine"/>
    <x v="1"/>
    <s v="Ohn Taw Gyi (North)"/>
    <s v="MMR012CMP115"/>
    <x v="1"/>
    <n v="146"/>
    <m/>
    <n v="146"/>
    <s v="DRC"/>
    <d v="2018-09-30T00:00:00"/>
  </r>
  <r>
    <s v="Rakhine"/>
    <x v="1"/>
    <s v="Ohn Taw Gyi (North)"/>
    <s v="MMR012CMP115"/>
    <x v="2"/>
    <m/>
    <m/>
    <n v="0"/>
    <s v="DRC"/>
    <d v="2018-09-30T00:00:00"/>
  </r>
  <r>
    <s v="Rakhine"/>
    <x v="1"/>
    <s v="Ohn Taw Gyi (North)"/>
    <s v="MMR012CMP115"/>
    <x v="3"/>
    <m/>
    <m/>
    <n v="0"/>
    <s v="DRC"/>
    <d v="2018-09-30T00:00:00"/>
  </r>
  <r>
    <s v="Rakhine"/>
    <x v="1"/>
    <s v="Ohn Taw Gyi (North)"/>
    <s v="MMR012CMP115"/>
    <x v="4"/>
    <m/>
    <m/>
    <n v="0"/>
    <s v="DRC"/>
    <d v="2018-09-30T00:00:00"/>
  </r>
  <r>
    <s v="Rakhine"/>
    <x v="1"/>
    <s v="Ohn Taw Gyi (North)"/>
    <s v="MMR012CMP115"/>
    <x v="5"/>
    <n v="79"/>
    <n v="101"/>
    <n v="180"/>
    <s v="DRC"/>
    <d v="2018-09-30T00:00:00"/>
  </r>
  <r>
    <s v="Rakhine"/>
    <x v="1"/>
    <s v="Ohn Taw Gyi (North)"/>
    <s v="MMR012CMP115"/>
    <x v="6"/>
    <m/>
    <m/>
    <n v="0"/>
    <s v="DRC"/>
    <d v="2018-09-30T00:00:00"/>
  </r>
  <r>
    <s v="Rakhine"/>
    <x v="1"/>
    <s v="Ohn Taw Gyi (North)"/>
    <s v="MMR012CMP115"/>
    <x v="7"/>
    <m/>
    <n v="183"/>
    <n v="183"/>
    <s v="DRC"/>
    <d v="2018-09-30T00:00:00"/>
  </r>
  <r>
    <s v="Rakhine"/>
    <x v="1"/>
    <s v="Ohn Taw Gyi (North)"/>
    <s v="MMR012CMP115"/>
    <x v="8"/>
    <m/>
    <n v="961"/>
    <n v="961"/>
    <s v="DRC"/>
    <d v="2018-09-30T00:00:00"/>
  </r>
  <r>
    <s v="Rakhine"/>
    <x v="1"/>
    <s v="Ohn Taw Gyi (South)"/>
    <s v="MMR012CMP116"/>
    <x v="0"/>
    <n v="58"/>
    <n v="42"/>
    <n v="100"/>
    <s v="LWF"/>
    <d v="2018-09-30T00:00:00"/>
  </r>
  <r>
    <s v="Rakhine"/>
    <x v="1"/>
    <s v="Ohn Taw Gyi (South)"/>
    <s v="MMR012CMP116"/>
    <x v="1"/>
    <n v="23"/>
    <n v="20"/>
    <n v="43"/>
    <s v="LWF"/>
    <d v="2018-09-30T00:00:00"/>
  </r>
  <r>
    <s v="Rakhine"/>
    <x v="1"/>
    <s v="Ohn Taw Gyi (South)"/>
    <s v="MMR012CMP116"/>
    <x v="2"/>
    <n v="5"/>
    <n v="8"/>
    <n v="13"/>
    <s v="LWF"/>
    <d v="2018-09-30T00:00:00"/>
  </r>
  <r>
    <s v="Rakhine"/>
    <x v="1"/>
    <s v="Ohn Taw Gyi (South)"/>
    <s v="MMR012CMP116"/>
    <x v="3"/>
    <n v="7"/>
    <n v="4"/>
    <n v="11"/>
    <s v="LWF"/>
    <d v="2018-09-30T00:00:00"/>
  </r>
  <r>
    <s v="Rakhine"/>
    <x v="1"/>
    <s v="Ohn Taw Gyi (South)"/>
    <s v="MMR012CMP116"/>
    <x v="4"/>
    <n v="31"/>
    <n v="9"/>
    <n v="40"/>
    <s v="LWF"/>
    <d v="2018-09-30T00:00:00"/>
  </r>
  <r>
    <s v="Rakhine"/>
    <x v="1"/>
    <s v="Ohn Taw Gyi (South)"/>
    <s v="MMR012CMP116"/>
    <x v="5"/>
    <n v="77"/>
    <n v="64"/>
    <n v="141"/>
    <s v="LWF"/>
    <d v="2018-09-30T00:00:00"/>
  </r>
  <r>
    <s v="Rakhine"/>
    <x v="1"/>
    <s v="Ohn Taw Gyi (South)"/>
    <s v="MMR012CMP116"/>
    <x v="6"/>
    <n v="17"/>
    <n v="151"/>
    <n v="168"/>
    <s v="LWF"/>
    <d v="2018-09-30T00:00:00"/>
  </r>
  <r>
    <s v="Rakhine"/>
    <x v="1"/>
    <s v="Ohn Taw Gyi (South)"/>
    <s v="MMR012CMP116"/>
    <x v="7"/>
    <m/>
    <n v="200"/>
    <n v="200"/>
    <s v="LWF"/>
    <d v="2018-09-30T00:00:00"/>
  </r>
  <r>
    <s v="Rakhine"/>
    <x v="1"/>
    <s v="Ohn Taw Gyi (South)"/>
    <s v="MMR012CMP116"/>
    <x v="8"/>
    <m/>
    <n v="650"/>
    <n v="650"/>
    <s v="LWF"/>
    <d v="2018-09-30T00:00:00"/>
  </r>
  <r>
    <s v="Rakhine"/>
    <x v="1"/>
    <s v="Say Tha Mar Gyi"/>
    <s v="MMR012CMP045"/>
    <x v="0"/>
    <n v="129"/>
    <n v="156"/>
    <n v="0"/>
    <s v="DRC"/>
    <d v="2018-09-30T00:00:00"/>
  </r>
  <r>
    <s v="Rakhine"/>
    <x v="1"/>
    <s v="Say Tha Mar Gyi"/>
    <s v="MMR012CMP045"/>
    <x v="1"/>
    <m/>
    <m/>
    <n v="0"/>
    <s v="DRC"/>
    <d v="2018-09-30T00:00:00"/>
  </r>
  <r>
    <s v="Rakhine"/>
    <x v="1"/>
    <s v="Say Tha Mar Gyi"/>
    <s v="MMR012CMP045"/>
    <x v="2"/>
    <n v="42"/>
    <m/>
    <n v="184"/>
    <s v="DRC"/>
    <d v="2018-09-30T00:00:00"/>
  </r>
  <r>
    <s v="Rakhine"/>
    <x v="1"/>
    <s v="Say Tha Mar Gyi"/>
    <s v="MMR012CMP045"/>
    <x v="3"/>
    <m/>
    <m/>
    <n v="0"/>
    <s v="DRC"/>
    <d v="2018-09-30T00:00:00"/>
  </r>
  <r>
    <s v="Rakhine"/>
    <x v="1"/>
    <s v="Say Tha Mar Gyi"/>
    <s v="MMR012CMP045"/>
    <x v="4"/>
    <m/>
    <m/>
    <n v="0"/>
    <s v="DRC"/>
    <d v="2018-09-30T00:00:00"/>
  </r>
  <r>
    <s v="Rakhine"/>
    <x v="1"/>
    <s v="Say Tha Mar Gyi"/>
    <s v="MMR012CMP045"/>
    <x v="5"/>
    <n v="97"/>
    <n v="117"/>
    <n v="206"/>
    <s v="DRC"/>
    <d v="2018-09-30T00:00:00"/>
  </r>
  <r>
    <s v="Rakhine"/>
    <x v="1"/>
    <s v="Say Tha Mar Gyi"/>
    <s v="MMR012CMP045"/>
    <x v="6"/>
    <m/>
    <m/>
    <n v="0"/>
    <s v="DRC"/>
    <d v="2018-09-30T00:00:00"/>
  </r>
  <r>
    <s v="Rakhine"/>
    <x v="1"/>
    <s v="Say Tha Mar Gyi"/>
    <s v="MMR012CMP045"/>
    <x v="7"/>
    <m/>
    <n v="212"/>
    <n v="212"/>
    <s v="DRC"/>
    <d v="2018-09-30T00:00:00"/>
  </r>
  <r>
    <s v="Rakhine"/>
    <x v="1"/>
    <s v="Say Tha Mar Gyi"/>
    <s v="MMR012CMP045"/>
    <x v="8"/>
    <m/>
    <n v="772"/>
    <n v="772"/>
    <s v="DRC"/>
    <d v="2018-09-30T00:00:00"/>
  </r>
  <r>
    <s v="Rakhine"/>
    <x v="0"/>
    <s v="Sin Tet Maw"/>
    <s v="MMR012CMP019"/>
    <x v="0"/>
    <n v="33"/>
    <n v="50"/>
    <n v="83"/>
    <s v="DRC"/>
    <d v="2018-09-30T00:00:00"/>
  </r>
  <r>
    <s v="Rakhine"/>
    <x v="0"/>
    <s v="Sin Tet Maw"/>
    <s v="MMR012CMP019"/>
    <x v="1"/>
    <n v="0"/>
    <n v="0"/>
    <n v="0"/>
    <s v="DRC"/>
    <d v="2018-09-30T00:00:00"/>
  </r>
  <r>
    <s v="Rakhine"/>
    <x v="0"/>
    <s v="Sin Tet Maw"/>
    <s v="MMR012CMP019"/>
    <x v="2"/>
    <n v="7"/>
    <n v="5"/>
    <n v="12"/>
    <s v="DRC"/>
    <d v="2018-09-30T00:00:00"/>
  </r>
  <r>
    <s v="Rakhine"/>
    <x v="0"/>
    <s v="Sin Tet Maw"/>
    <s v="MMR012CMP019"/>
    <x v="3"/>
    <n v="0"/>
    <n v="0"/>
    <n v="0"/>
    <s v="DRC"/>
    <d v="2018-09-30T00:00:00"/>
  </r>
  <r>
    <s v="Rakhine"/>
    <x v="0"/>
    <s v="Sin Tet Maw"/>
    <s v="MMR012CMP019"/>
    <x v="4"/>
    <n v="0"/>
    <n v="0"/>
    <n v="0"/>
    <s v="DRC"/>
    <d v="2018-09-30T00:00:00"/>
  </r>
  <r>
    <s v="Rakhine"/>
    <x v="0"/>
    <s v="Sin Tet Maw"/>
    <s v="MMR012CMP019"/>
    <x v="5"/>
    <n v="0"/>
    <n v="0"/>
    <n v="0"/>
    <s v="DRC"/>
    <d v="2018-09-30T00:00:00"/>
  </r>
  <r>
    <s v="Rakhine"/>
    <x v="0"/>
    <s v="Sin Tet Maw"/>
    <s v="MMR012CMP019"/>
    <x v="6"/>
    <n v="0"/>
    <n v="0"/>
    <n v="0"/>
    <s v="DRC"/>
    <d v="2018-09-30T00:00:00"/>
  </r>
  <r>
    <s v="Rakhine"/>
    <x v="0"/>
    <s v="Sin Tet Maw"/>
    <s v="MMR012CMP019"/>
    <x v="7"/>
    <m/>
    <n v="25"/>
    <n v="25"/>
    <s v="DRC"/>
    <d v="2018-09-30T00:00:00"/>
  </r>
  <r>
    <s v="Rakhine"/>
    <x v="0"/>
    <s v="Sin Tet Maw"/>
    <s v="MMR012CMP019"/>
    <x v="8"/>
    <m/>
    <n v="260"/>
    <n v="260"/>
    <s v="DRC"/>
    <d v="2018-09-30T00:00:00"/>
  </r>
  <r>
    <s v="Rakhine"/>
    <x v="2"/>
    <s v="Taung Paw "/>
    <s v="MMR012CMP014"/>
    <x v="0"/>
    <n v="20"/>
    <n v="20"/>
    <n v="40"/>
    <s v="RI"/>
    <d v="2018-09-30T00:00:00"/>
  </r>
  <r>
    <s v="Rakhine"/>
    <x v="2"/>
    <s v="Taung Paw "/>
    <s v="MMR012CMP014"/>
    <x v="1"/>
    <n v="5"/>
    <n v="8"/>
    <n v="13"/>
    <s v="RI"/>
    <d v="2018-09-30T00:00:00"/>
  </r>
  <r>
    <s v="Rakhine"/>
    <x v="2"/>
    <s v="Taung Paw "/>
    <s v="MMR012CMP014"/>
    <x v="2"/>
    <n v="5"/>
    <n v="3"/>
    <n v="8"/>
    <s v="RI"/>
    <d v="2018-09-30T00:00:00"/>
  </r>
  <r>
    <s v="Rakhine"/>
    <x v="2"/>
    <s v="Taung Paw "/>
    <s v="MMR012CMP014"/>
    <x v="3"/>
    <n v="0"/>
    <n v="0"/>
    <n v="0"/>
    <s v="RI"/>
    <d v="2018-09-30T00:00:00"/>
  </r>
  <r>
    <s v="Rakhine"/>
    <x v="2"/>
    <s v="Taung Paw "/>
    <s v="MMR012CMP014"/>
    <x v="4"/>
    <n v="0"/>
    <n v="0"/>
    <n v="0"/>
    <s v="RI"/>
    <d v="2018-09-30T00:00:00"/>
  </r>
  <r>
    <s v="Rakhine"/>
    <x v="2"/>
    <s v="Taung Paw "/>
    <s v="MMR012CMP014"/>
    <x v="9"/>
    <n v="1"/>
    <n v="0"/>
    <n v="1"/>
    <s v="RI"/>
    <d v="2018-09-30T00:00:00"/>
  </r>
  <r>
    <s v="Rakhine"/>
    <x v="2"/>
    <s v="Taung Paw "/>
    <s v="MMR012CMP014"/>
    <x v="6"/>
    <n v="11"/>
    <n v="134"/>
    <n v="145"/>
    <s v="RI"/>
    <d v="2018-09-30T00:00:00"/>
  </r>
  <r>
    <s v="Rakhine"/>
    <x v="2"/>
    <s v="Taung Paw "/>
    <s v="MMR012CMP014"/>
    <x v="7"/>
    <m/>
    <n v="24"/>
    <n v="24"/>
    <s v="RI"/>
    <d v="2018-09-30T00:00:00"/>
  </r>
  <r>
    <s v="Rakhine"/>
    <x v="2"/>
    <s v="Taung Paw "/>
    <s v="MMR012CMP014"/>
    <x v="8"/>
    <m/>
    <n v="122"/>
    <n v="122"/>
    <s v="RI"/>
    <d v="2018-09-30T00:00:00"/>
  </r>
  <r>
    <s v="Rakhine"/>
    <x v="1"/>
    <s v="Thae Chaung"/>
    <s v="MMR012CMP046"/>
    <x v="0"/>
    <n v="53"/>
    <n v="49"/>
    <n v="102"/>
    <s v="LWF"/>
    <d v="2018-09-30T00:00:00"/>
  </r>
  <r>
    <s v="Rakhine"/>
    <x v="1"/>
    <s v="Thae Chaung"/>
    <s v="MMR012CMP046"/>
    <x v="1"/>
    <n v="31"/>
    <n v="23"/>
    <n v="54"/>
    <s v="LWF"/>
    <d v="2018-09-30T00:00:00"/>
  </r>
  <r>
    <s v="Rakhine"/>
    <x v="1"/>
    <s v="Thae Chaung"/>
    <s v="MMR012CMP046"/>
    <x v="2"/>
    <n v="4"/>
    <n v="15"/>
    <n v="19"/>
    <s v="LWF"/>
    <d v="2018-09-30T00:00:00"/>
  </r>
  <r>
    <s v="Rakhine"/>
    <x v="1"/>
    <s v="Thae Chaung"/>
    <s v="MMR012CMP046"/>
    <x v="3"/>
    <n v="5"/>
    <n v="5"/>
    <n v="10"/>
    <s v="LWF"/>
    <d v="2018-09-30T00:00:00"/>
  </r>
  <r>
    <s v="Rakhine"/>
    <x v="1"/>
    <s v="Thae Chaung"/>
    <s v="MMR012CMP046"/>
    <x v="4"/>
    <n v="6"/>
    <n v="7"/>
    <n v="13"/>
    <s v="LWF"/>
    <d v="2018-09-30T00:00:00"/>
  </r>
  <r>
    <s v="Rakhine"/>
    <x v="1"/>
    <s v="Thae Chaung"/>
    <s v="MMR012CMP046"/>
    <x v="5"/>
    <n v="169"/>
    <n v="167"/>
    <n v="336"/>
    <s v="LWF"/>
    <d v="2018-09-30T00:00:00"/>
  </r>
  <r>
    <s v="Rakhine"/>
    <x v="1"/>
    <s v="Thae Chaung"/>
    <s v="MMR012CMP046"/>
    <x v="6"/>
    <n v="15"/>
    <n v="25"/>
    <n v="40"/>
    <s v="LWF"/>
    <d v="2018-09-30T00:00:00"/>
  </r>
  <r>
    <s v="Rakhine"/>
    <x v="1"/>
    <s v="Thae Chaung"/>
    <s v="MMR012CMP046"/>
    <x v="7"/>
    <m/>
    <n v="77"/>
    <n v="77"/>
    <s v="LWF"/>
    <d v="2018-09-30T00:00:00"/>
  </r>
  <r>
    <s v="Rakhine"/>
    <x v="1"/>
    <s v="Thae Chaung"/>
    <s v="MMR012CMP046"/>
    <x v="8"/>
    <m/>
    <n v="360"/>
    <n v="360"/>
    <s v="LWF"/>
    <d v="2018-09-30T00:00:00"/>
  </r>
  <r>
    <s v="Rakhine"/>
    <x v="0"/>
    <s v="Nget Chaung 1"/>
    <s v="MMR012CMP017"/>
    <x v="0"/>
    <n v="51"/>
    <n v="17"/>
    <n v="68"/>
    <s v="LWF"/>
    <d v="2018-09-30T00:00:00"/>
  </r>
  <r>
    <s v="Rakhine"/>
    <x v="0"/>
    <s v="Nget Chaung 1"/>
    <s v="MMR012CMP017"/>
    <x v="1"/>
    <n v="9"/>
    <n v="13"/>
    <n v="22"/>
    <s v="LWF"/>
    <d v="2018-09-30T00:00:00"/>
  </r>
  <r>
    <s v="Rakhine"/>
    <x v="0"/>
    <s v="Nget Chaung 1"/>
    <s v="MMR012CMP017"/>
    <x v="2"/>
    <n v="49"/>
    <n v="36"/>
    <n v="85"/>
    <s v="LWF"/>
    <d v="2018-09-30T00:00:00"/>
  </r>
  <r>
    <s v="Rakhine"/>
    <x v="0"/>
    <s v="Nget Chaung 1"/>
    <s v="MMR012CMP017"/>
    <x v="3"/>
    <n v="7"/>
    <n v="2"/>
    <n v="9"/>
    <s v="LWF"/>
    <d v="2018-09-30T00:00:00"/>
  </r>
  <r>
    <s v="Rakhine"/>
    <x v="0"/>
    <s v="Nget Chaung 1"/>
    <s v="MMR012CMP017"/>
    <x v="4"/>
    <n v="8"/>
    <n v="0"/>
    <n v="8"/>
    <s v="LWF"/>
    <d v="2018-09-30T00:00:00"/>
  </r>
  <r>
    <s v="Rakhine"/>
    <x v="0"/>
    <s v="Nget Chaung 1"/>
    <s v="MMR012CMP017"/>
    <x v="5"/>
    <n v="58"/>
    <n v="5"/>
    <n v="63"/>
    <s v="LWF"/>
    <d v="2018-09-30T00:00:00"/>
  </r>
  <r>
    <s v="Rakhine"/>
    <x v="0"/>
    <s v="Nget Chaung 1"/>
    <s v="MMR012CMP017"/>
    <x v="6"/>
    <n v="12"/>
    <n v="134"/>
    <n v="146"/>
    <s v="LWF"/>
    <d v="2018-09-30T00:00:00"/>
  </r>
  <r>
    <s v="Rakhine"/>
    <x v="0"/>
    <s v="Nget Chaung 1"/>
    <s v="MMR012CMP017"/>
    <x v="7"/>
    <m/>
    <n v="134"/>
    <n v="134"/>
    <s v="LWF"/>
    <d v="2018-09-30T00:00:00"/>
  </r>
  <r>
    <s v="Rakhine"/>
    <x v="0"/>
    <s v="Nget Chaung 1"/>
    <s v="MMR012CMP017"/>
    <x v="8"/>
    <m/>
    <n v="379"/>
    <n v="379"/>
    <s v="LWF"/>
    <d v="2018-09-30T00:00:00"/>
  </r>
  <r>
    <s v="Rakhine"/>
    <x v="1"/>
    <s v="Thet Kae Pyin "/>
    <s v="MMR012CMP048"/>
    <x v="0"/>
    <n v="13"/>
    <n v="15"/>
    <n v="28"/>
    <s v="NRC"/>
    <d v="2018-10-31T00:00:00"/>
  </r>
  <r>
    <s v="Rakhine"/>
    <x v="1"/>
    <s v="Thet Kae Pyin "/>
    <s v="MMR012CMP048"/>
    <x v="1"/>
    <n v="8"/>
    <n v="12"/>
    <n v="20"/>
    <s v="NRC"/>
    <d v="2018-10-31T00:00:00"/>
  </r>
  <r>
    <s v="Rakhine"/>
    <x v="1"/>
    <s v="Thet Kae Pyin "/>
    <s v="MMR012CMP048"/>
    <x v="2"/>
    <n v="28"/>
    <n v="40"/>
    <n v="68"/>
    <s v="NRC"/>
    <d v="2018-10-31T00:00:00"/>
  </r>
  <r>
    <s v="Rakhine"/>
    <x v="1"/>
    <s v="Thet Kae Pyin "/>
    <s v="MMR012CMP048"/>
    <x v="3"/>
    <n v="8"/>
    <n v="6"/>
    <n v="14"/>
    <s v="NRC"/>
    <d v="2018-10-31T00:00:00"/>
  </r>
  <r>
    <s v="Rakhine"/>
    <x v="1"/>
    <s v="Thet Kae Pyin "/>
    <s v="MMR012CMP048"/>
    <x v="4"/>
    <n v="11"/>
    <n v="5"/>
    <n v="16"/>
    <s v="NRC"/>
    <d v="2018-10-31T00:00:00"/>
  </r>
  <r>
    <s v="Rakhine"/>
    <x v="1"/>
    <s v="Thet Kae Pyin "/>
    <s v="MMR012CMP048"/>
    <x v="5"/>
    <n v="27"/>
    <n v="30"/>
    <n v="57"/>
    <s v="NRC"/>
    <d v="2018-10-31T00:00:00"/>
  </r>
  <r>
    <s v="Rakhine"/>
    <x v="1"/>
    <s v="Thet Kae Pyin "/>
    <s v="MMR012CMP048"/>
    <x v="6"/>
    <n v="16"/>
    <n v="139"/>
    <n v="155"/>
    <s v="NRC"/>
    <d v="2018-10-31T00:00:00"/>
  </r>
  <r>
    <s v="Rakhine"/>
    <x v="1"/>
    <s v="Thet Kae Pyin "/>
    <s v="MMR012CMP048"/>
    <x v="7"/>
    <m/>
    <n v="97"/>
    <n v="97"/>
    <s v="NRC"/>
    <d v="2018-10-31T00:00:00"/>
  </r>
  <r>
    <s v="Rakhine"/>
    <x v="1"/>
    <s v="Thet Kae Pyin "/>
    <s v="MMR012CMP048"/>
    <x v="8"/>
    <m/>
    <n v="284"/>
    <n v="284"/>
    <s v="NRC"/>
    <d v="2018-10-31T00:00:00"/>
  </r>
</pivotCacheRecords>
</file>

<file path=xl/pivotCache/pivotCacheRecords2.xml><?xml version="1.0" encoding="utf-8"?>
<pivotCacheRecords xmlns="http://schemas.openxmlformats.org/spreadsheetml/2006/main" xmlns:r="http://schemas.openxmlformats.org/officeDocument/2006/relationships" count="228">
  <r>
    <x v="0"/>
    <x v="0"/>
    <s v="MMR012CMP016"/>
    <x v="0"/>
    <x v="0"/>
    <n v="530"/>
  </r>
  <r>
    <x v="0"/>
    <x v="0"/>
    <s v="MMR012CMP016"/>
    <x v="0"/>
    <x v="1"/>
    <n v="467"/>
  </r>
  <r>
    <x v="0"/>
    <x v="0"/>
    <s v="MMR012CMP016"/>
    <x v="1"/>
    <x v="0"/>
    <n v="526"/>
  </r>
  <r>
    <x v="0"/>
    <x v="0"/>
    <s v="MMR012CMP016"/>
    <x v="1"/>
    <x v="1"/>
    <n v="508"/>
  </r>
  <r>
    <x v="0"/>
    <x v="0"/>
    <s v="MMR012CMP016"/>
    <x v="2"/>
    <x v="0"/>
    <n v="392"/>
  </r>
  <r>
    <x v="0"/>
    <x v="0"/>
    <s v="MMR012CMP016"/>
    <x v="2"/>
    <x v="1"/>
    <n v="338"/>
  </r>
  <r>
    <x v="0"/>
    <x v="0"/>
    <s v="MMR012CMP016"/>
    <x v="3"/>
    <x v="0"/>
    <n v="322"/>
  </r>
  <r>
    <x v="0"/>
    <x v="0"/>
    <s v="MMR012CMP016"/>
    <x v="3"/>
    <x v="1"/>
    <n v="448"/>
  </r>
  <r>
    <x v="0"/>
    <x v="0"/>
    <s v="MMR012CMP016"/>
    <x v="4"/>
    <x v="0"/>
    <n v="495"/>
  </r>
  <r>
    <x v="0"/>
    <x v="0"/>
    <s v="MMR012CMP016"/>
    <x v="4"/>
    <x v="1"/>
    <n v="596"/>
  </r>
  <r>
    <x v="0"/>
    <x v="0"/>
    <s v="MMR012CMP016"/>
    <x v="5"/>
    <x v="0"/>
    <n v="56"/>
  </r>
  <r>
    <x v="0"/>
    <x v="0"/>
    <s v="MMR012CMP016"/>
    <x v="5"/>
    <x v="1"/>
    <n v="48"/>
  </r>
  <r>
    <x v="1"/>
    <x v="1"/>
    <s v="MMR012CMP113"/>
    <x v="0"/>
    <x v="0"/>
    <n v="380"/>
  </r>
  <r>
    <x v="1"/>
    <x v="1"/>
    <s v="MMR012CMP113"/>
    <x v="0"/>
    <x v="1"/>
    <n v="398"/>
  </r>
  <r>
    <x v="1"/>
    <x v="1"/>
    <s v="MMR012CMP113"/>
    <x v="1"/>
    <x v="0"/>
    <n v="390"/>
  </r>
  <r>
    <x v="1"/>
    <x v="1"/>
    <s v="MMR012CMP113"/>
    <x v="1"/>
    <x v="1"/>
    <n v="359"/>
  </r>
  <r>
    <x v="1"/>
    <x v="1"/>
    <s v="MMR012CMP113"/>
    <x v="2"/>
    <x v="0"/>
    <n v="413"/>
  </r>
  <r>
    <x v="1"/>
    <x v="1"/>
    <s v="MMR012CMP113"/>
    <x v="2"/>
    <x v="1"/>
    <n v="325"/>
  </r>
  <r>
    <x v="1"/>
    <x v="1"/>
    <s v="MMR012CMP113"/>
    <x v="3"/>
    <x v="0"/>
    <n v="351"/>
  </r>
  <r>
    <x v="1"/>
    <x v="1"/>
    <s v="MMR012CMP113"/>
    <x v="3"/>
    <x v="1"/>
    <n v="422"/>
  </r>
  <r>
    <x v="1"/>
    <x v="1"/>
    <s v="MMR012CMP113"/>
    <x v="4"/>
    <x v="0"/>
    <n v="753"/>
  </r>
  <r>
    <x v="1"/>
    <x v="1"/>
    <s v="MMR012CMP113"/>
    <x v="4"/>
    <x v="1"/>
    <n v="801"/>
  </r>
  <r>
    <x v="1"/>
    <x v="1"/>
    <s v="MMR012CMP113"/>
    <x v="5"/>
    <x v="0"/>
    <n v="81"/>
  </r>
  <r>
    <x v="1"/>
    <x v="1"/>
    <s v="MMR012CMP113"/>
    <x v="5"/>
    <x v="1"/>
    <n v="84"/>
  </r>
  <r>
    <x v="1"/>
    <x v="2"/>
    <s v="MMR012CMP114"/>
    <x v="0"/>
    <x v="0"/>
    <n v="594"/>
  </r>
  <r>
    <x v="1"/>
    <x v="2"/>
    <s v="MMR012CMP114"/>
    <x v="0"/>
    <x v="1"/>
    <n v="627"/>
  </r>
  <r>
    <x v="1"/>
    <x v="2"/>
    <s v="MMR012CMP114"/>
    <x v="1"/>
    <x v="0"/>
    <n v="658"/>
  </r>
  <r>
    <x v="1"/>
    <x v="2"/>
    <s v="MMR012CMP114"/>
    <x v="1"/>
    <x v="1"/>
    <n v="618"/>
  </r>
  <r>
    <x v="1"/>
    <x v="2"/>
    <s v="MMR012CMP114"/>
    <x v="2"/>
    <x v="0"/>
    <n v="560"/>
  </r>
  <r>
    <x v="1"/>
    <x v="2"/>
    <s v="MMR012CMP114"/>
    <x v="2"/>
    <x v="1"/>
    <n v="537"/>
  </r>
  <r>
    <x v="1"/>
    <x v="2"/>
    <s v="MMR012CMP114"/>
    <x v="3"/>
    <x v="0"/>
    <n v="633"/>
  </r>
  <r>
    <x v="1"/>
    <x v="2"/>
    <s v="MMR012CMP114"/>
    <x v="3"/>
    <x v="1"/>
    <n v="782"/>
  </r>
  <r>
    <x v="1"/>
    <x v="2"/>
    <s v="MMR012CMP114"/>
    <x v="4"/>
    <x v="0"/>
    <n v="654"/>
  </r>
  <r>
    <x v="1"/>
    <x v="2"/>
    <s v="MMR012CMP114"/>
    <x v="4"/>
    <x v="1"/>
    <n v="739"/>
  </r>
  <r>
    <x v="1"/>
    <x v="2"/>
    <s v="MMR012CMP114"/>
    <x v="5"/>
    <x v="0"/>
    <n v="104"/>
  </r>
  <r>
    <x v="1"/>
    <x v="2"/>
    <s v="MMR012CMP114"/>
    <x v="5"/>
    <x v="1"/>
    <n v="105"/>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229"/>
  </r>
  <r>
    <x v="1"/>
    <x v="4"/>
    <s v="MMR012CMP042"/>
    <x v="0"/>
    <x v="1"/>
    <n v="256"/>
  </r>
  <r>
    <x v="1"/>
    <x v="4"/>
    <s v="MMR012CMP042"/>
    <x v="1"/>
    <x v="0"/>
    <n v="225"/>
  </r>
  <r>
    <x v="1"/>
    <x v="4"/>
    <s v="MMR012CMP042"/>
    <x v="1"/>
    <x v="1"/>
    <n v="206"/>
  </r>
  <r>
    <x v="1"/>
    <x v="4"/>
    <s v="MMR012CMP042"/>
    <x v="2"/>
    <x v="0"/>
    <n v="161"/>
  </r>
  <r>
    <x v="1"/>
    <x v="4"/>
    <s v="MMR012CMP042"/>
    <x v="2"/>
    <x v="1"/>
    <n v="157"/>
  </r>
  <r>
    <x v="1"/>
    <x v="4"/>
    <s v="MMR012CMP042"/>
    <x v="3"/>
    <x v="0"/>
    <n v="166"/>
  </r>
  <r>
    <x v="1"/>
    <x v="4"/>
    <s v="MMR012CMP042"/>
    <x v="3"/>
    <x v="1"/>
    <n v="204"/>
  </r>
  <r>
    <x v="1"/>
    <x v="4"/>
    <s v="MMR012CMP042"/>
    <x v="4"/>
    <x v="0"/>
    <n v="308"/>
  </r>
  <r>
    <x v="1"/>
    <x v="4"/>
    <s v="MMR012CMP042"/>
    <x v="4"/>
    <x v="1"/>
    <n v="336"/>
  </r>
  <r>
    <x v="1"/>
    <x v="4"/>
    <s v="MMR012CMP042"/>
    <x v="5"/>
    <x v="0"/>
    <n v="26"/>
  </r>
  <r>
    <x v="1"/>
    <x v="4"/>
    <s v="MMR012CMP042"/>
    <x v="5"/>
    <x v="1"/>
    <n v="32"/>
  </r>
  <r>
    <x v="1"/>
    <x v="5"/>
    <s v="MMR012CMP042"/>
    <x v="0"/>
    <x v="0"/>
    <n v="239"/>
  </r>
  <r>
    <x v="1"/>
    <x v="5"/>
    <s v="MMR012CMP042"/>
    <x v="0"/>
    <x v="1"/>
    <n v="218"/>
  </r>
  <r>
    <x v="1"/>
    <x v="5"/>
    <s v="MMR012CMP042"/>
    <x v="1"/>
    <x v="0"/>
    <n v="193"/>
  </r>
  <r>
    <x v="1"/>
    <x v="5"/>
    <s v="MMR012CMP042"/>
    <x v="1"/>
    <x v="1"/>
    <n v="184"/>
  </r>
  <r>
    <x v="1"/>
    <x v="5"/>
    <s v="MMR012CMP042"/>
    <x v="2"/>
    <x v="0"/>
    <n v="177"/>
  </r>
  <r>
    <x v="1"/>
    <x v="5"/>
    <s v="MMR012CMP042"/>
    <x v="2"/>
    <x v="1"/>
    <n v="140"/>
  </r>
  <r>
    <x v="1"/>
    <x v="5"/>
    <s v="MMR012CMP042"/>
    <x v="3"/>
    <x v="0"/>
    <n v="149"/>
  </r>
  <r>
    <x v="1"/>
    <x v="5"/>
    <s v="MMR012CMP042"/>
    <x v="3"/>
    <x v="1"/>
    <n v="255"/>
  </r>
  <r>
    <x v="1"/>
    <x v="5"/>
    <s v="MMR012CMP042"/>
    <x v="4"/>
    <x v="0"/>
    <n v="300"/>
  </r>
  <r>
    <x v="1"/>
    <x v="5"/>
    <s v="MMR012CMP042"/>
    <x v="4"/>
    <x v="1"/>
    <n v="292"/>
  </r>
  <r>
    <x v="1"/>
    <x v="5"/>
    <s v="MMR012CMP042"/>
    <x v="5"/>
    <x v="0"/>
    <n v="40"/>
  </r>
  <r>
    <x v="1"/>
    <x v="5"/>
    <s v="MMR012CMP042"/>
    <x v="5"/>
    <x v="1"/>
    <n v="42"/>
  </r>
  <r>
    <x v="0"/>
    <x v="6"/>
    <s v="MMR012CMP018"/>
    <x v="0"/>
    <x v="0"/>
    <n v="737"/>
  </r>
  <r>
    <x v="0"/>
    <x v="6"/>
    <s v="MMR012CMP018"/>
    <x v="0"/>
    <x v="1"/>
    <n v="788"/>
  </r>
  <r>
    <x v="0"/>
    <x v="6"/>
    <s v="MMR012CMP018"/>
    <x v="1"/>
    <x v="0"/>
    <n v="565"/>
  </r>
  <r>
    <x v="0"/>
    <x v="6"/>
    <s v="MMR012CMP018"/>
    <x v="1"/>
    <x v="1"/>
    <n v="541"/>
  </r>
  <r>
    <x v="0"/>
    <x v="6"/>
    <s v="MMR012CMP018"/>
    <x v="2"/>
    <x v="0"/>
    <n v="338"/>
  </r>
  <r>
    <x v="0"/>
    <x v="6"/>
    <s v="MMR012CMP018"/>
    <x v="2"/>
    <x v="1"/>
    <n v="282"/>
  </r>
  <r>
    <x v="0"/>
    <x v="6"/>
    <s v="MMR012CMP018"/>
    <x v="3"/>
    <x v="0"/>
    <n v="500"/>
  </r>
  <r>
    <x v="0"/>
    <x v="6"/>
    <s v="MMR012CMP018"/>
    <x v="3"/>
    <x v="1"/>
    <n v="738"/>
  </r>
  <r>
    <x v="0"/>
    <x v="6"/>
    <s v="MMR012CMP018"/>
    <x v="4"/>
    <x v="0"/>
    <n v="672"/>
  </r>
  <r>
    <x v="0"/>
    <x v="6"/>
    <s v="MMR012CMP018"/>
    <x v="4"/>
    <x v="1"/>
    <n v="575"/>
  </r>
  <r>
    <x v="0"/>
    <x v="6"/>
    <s v="MMR012CMP018"/>
    <x v="5"/>
    <x v="0"/>
    <n v="118"/>
  </r>
  <r>
    <x v="0"/>
    <x v="6"/>
    <s v="MMR012CMP018"/>
    <x v="5"/>
    <x v="1"/>
    <n v="91"/>
  </r>
  <r>
    <x v="1"/>
    <x v="7"/>
    <s v="MMR012CMP092"/>
    <x v="0"/>
    <x v="0"/>
    <n v="328"/>
  </r>
  <r>
    <x v="1"/>
    <x v="7"/>
    <s v="MMR012CMP092"/>
    <x v="0"/>
    <x v="1"/>
    <n v="254"/>
  </r>
  <r>
    <x v="1"/>
    <x v="7"/>
    <s v="MMR012CMP092"/>
    <x v="1"/>
    <x v="0"/>
    <n v="333"/>
  </r>
  <r>
    <x v="1"/>
    <x v="7"/>
    <s v="MMR012CMP092"/>
    <x v="1"/>
    <x v="1"/>
    <n v="291"/>
  </r>
  <r>
    <x v="1"/>
    <x v="7"/>
    <s v="MMR012CMP092"/>
    <x v="2"/>
    <x v="0"/>
    <n v="268"/>
  </r>
  <r>
    <x v="1"/>
    <x v="7"/>
    <s v="MMR012CMP092"/>
    <x v="2"/>
    <x v="1"/>
    <n v="264"/>
  </r>
  <r>
    <x v="1"/>
    <x v="7"/>
    <s v="MMR012CMP092"/>
    <x v="3"/>
    <x v="0"/>
    <n v="276"/>
  </r>
  <r>
    <x v="1"/>
    <x v="7"/>
    <s v="MMR012CMP092"/>
    <x v="3"/>
    <x v="1"/>
    <n v="360"/>
  </r>
  <r>
    <x v="1"/>
    <x v="7"/>
    <s v="MMR012CMP092"/>
    <x v="4"/>
    <x v="0"/>
    <n v="406"/>
  </r>
  <r>
    <x v="1"/>
    <x v="7"/>
    <s v="MMR012CMP092"/>
    <x v="4"/>
    <x v="1"/>
    <n v="452"/>
  </r>
  <r>
    <x v="1"/>
    <x v="7"/>
    <s v="MMR012CMP092"/>
    <x v="5"/>
    <x v="0"/>
    <n v="63"/>
  </r>
  <r>
    <x v="1"/>
    <x v="7"/>
    <s v="MMR012CMP092"/>
    <x v="5"/>
    <x v="1"/>
    <n v="75"/>
  </r>
  <r>
    <x v="0"/>
    <x v="8"/>
    <s v="MMR012CMP017"/>
    <x v="0"/>
    <x v="0"/>
    <n v="620"/>
  </r>
  <r>
    <x v="0"/>
    <x v="8"/>
    <s v="MMR012CMP017"/>
    <x v="0"/>
    <x v="1"/>
    <n v="561"/>
  </r>
  <r>
    <x v="0"/>
    <x v="8"/>
    <s v="MMR012CMP017"/>
    <x v="1"/>
    <x v="0"/>
    <n v="549"/>
  </r>
  <r>
    <x v="0"/>
    <x v="8"/>
    <s v="MMR012CMP017"/>
    <x v="1"/>
    <x v="1"/>
    <n v="535"/>
  </r>
  <r>
    <x v="0"/>
    <x v="8"/>
    <s v="MMR012CMP017"/>
    <x v="2"/>
    <x v="0"/>
    <n v="297"/>
  </r>
  <r>
    <x v="0"/>
    <x v="8"/>
    <s v="MMR012CMP017"/>
    <x v="2"/>
    <x v="1"/>
    <n v="238"/>
  </r>
  <r>
    <x v="0"/>
    <x v="8"/>
    <s v="MMR012CMP017"/>
    <x v="3"/>
    <x v="0"/>
    <n v="244"/>
  </r>
  <r>
    <x v="0"/>
    <x v="8"/>
    <s v="MMR012CMP017"/>
    <x v="3"/>
    <x v="1"/>
    <n v="392"/>
  </r>
  <r>
    <x v="0"/>
    <x v="8"/>
    <s v="MMR012CMP017"/>
    <x v="4"/>
    <x v="0"/>
    <n v="563"/>
  </r>
  <r>
    <x v="0"/>
    <x v="8"/>
    <s v="MMR012CMP017"/>
    <x v="4"/>
    <x v="1"/>
    <n v="539"/>
  </r>
  <r>
    <x v="0"/>
    <x v="8"/>
    <s v="MMR012CMP017"/>
    <x v="5"/>
    <x v="0"/>
    <n v="67"/>
  </r>
  <r>
    <x v="0"/>
    <x v="8"/>
    <s v="MMR012CMP017"/>
    <x v="5"/>
    <x v="1"/>
    <n v="60"/>
  </r>
  <r>
    <x v="0"/>
    <x v="9"/>
    <s v="MMR012CMP017"/>
    <x v="0"/>
    <x v="0"/>
    <n v="608"/>
  </r>
  <r>
    <x v="0"/>
    <x v="9"/>
    <s v="MMR012CMP017"/>
    <x v="0"/>
    <x v="1"/>
    <n v="617"/>
  </r>
  <r>
    <x v="0"/>
    <x v="9"/>
    <s v="MMR012CMP017"/>
    <x v="1"/>
    <x v="0"/>
    <n v="377"/>
  </r>
  <r>
    <x v="0"/>
    <x v="9"/>
    <s v="MMR012CMP017"/>
    <x v="1"/>
    <x v="1"/>
    <n v="334"/>
  </r>
  <r>
    <x v="0"/>
    <x v="9"/>
    <s v="MMR012CMP017"/>
    <x v="2"/>
    <x v="0"/>
    <n v="222"/>
  </r>
  <r>
    <x v="0"/>
    <x v="9"/>
    <s v="MMR012CMP017"/>
    <x v="2"/>
    <x v="1"/>
    <n v="220"/>
  </r>
  <r>
    <x v="0"/>
    <x v="9"/>
    <s v="MMR012CMP017"/>
    <x v="3"/>
    <x v="0"/>
    <n v="336"/>
  </r>
  <r>
    <x v="0"/>
    <x v="9"/>
    <s v="MMR012CMP017"/>
    <x v="3"/>
    <x v="1"/>
    <n v="476"/>
  </r>
  <r>
    <x v="0"/>
    <x v="9"/>
    <s v="MMR012CMP017"/>
    <x v="4"/>
    <x v="0"/>
    <n v="426"/>
  </r>
  <r>
    <x v="0"/>
    <x v="9"/>
    <s v="MMR012CMP017"/>
    <x v="4"/>
    <x v="1"/>
    <n v="348"/>
  </r>
  <r>
    <x v="0"/>
    <x v="9"/>
    <s v="MMR012CMP017"/>
    <x v="5"/>
    <x v="0"/>
    <n v="88"/>
  </r>
  <r>
    <x v="0"/>
    <x v="9"/>
    <s v="MMR012CMP017"/>
    <x v="5"/>
    <x v="1"/>
    <n v="66"/>
  </r>
  <r>
    <x v="1"/>
    <x v="10"/>
    <s v="MMR012CMP098"/>
    <x v="0"/>
    <x v="0"/>
    <n v="460"/>
  </r>
  <r>
    <x v="1"/>
    <x v="10"/>
    <s v="MMR012CMP098"/>
    <x v="0"/>
    <x v="1"/>
    <n v="478"/>
  </r>
  <r>
    <x v="1"/>
    <x v="10"/>
    <s v="MMR012CMP098"/>
    <x v="1"/>
    <x v="0"/>
    <n v="435"/>
  </r>
  <r>
    <x v="1"/>
    <x v="10"/>
    <s v="MMR012CMP098"/>
    <x v="1"/>
    <x v="1"/>
    <n v="359"/>
  </r>
  <r>
    <x v="1"/>
    <x v="10"/>
    <s v="MMR012CMP098"/>
    <x v="2"/>
    <x v="0"/>
    <n v="355"/>
  </r>
  <r>
    <x v="1"/>
    <x v="10"/>
    <s v="MMR012CMP098"/>
    <x v="2"/>
    <x v="1"/>
    <n v="282"/>
  </r>
  <r>
    <x v="1"/>
    <x v="10"/>
    <s v="MMR012CMP098"/>
    <x v="3"/>
    <x v="0"/>
    <n v="340"/>
  </r>
  <r>
    <x v="1"/>
    <x v="10"/>
    <s v="MMR012CMP098"/>
    <x v="3"/>
    <x v="1"/>
    <n v="453"/>
  </r>
  <r>
    <x v="1"/>
    <x v="10"/>
    <s v="MMR012CMP098"/>
    <x v="4"/>
    <x v="0"/>
    <n v="413"/>
  </r>
  <r>
    <x v="1"/>
    <x v="10"/>
    <s v="MMR012CMP098"/>
    <x v="4"/>
    <x v="1"/>
    <n v="348"/>
  </r>
  <r>
    <x v="1"/>
    <x v="10"/>
    <s v="MMR012CMP098"/>
    <x v="5"/>
    <x v="0"/>
    <n v="45"/>
  </r>
  <r>
    <x v="1"/>
    <x v="10"/>
    <s v="MMR012CMP098"/>
    <x v="5"/>
    <x v="1"/>
    <n v="39"/>
  </r>
  <r>
    <x v="1"/>
    <x v="11"/>
    <s v="MMR012CMP115"/>
    <x v="0"/>
    <x v="0"/>
    <n v="1563"/>
  </r>
  <r>
    <x v="1"/>
    <x v="11"/>
    <s v="MMR012CMP115"/>
    <x v="0"/>
    <x v="1"/>
    <n v="1446"/>
  </r>
  <r>
    <x v="1"/>
    <x v="11"/>
    <s v="MMR012CMP115"/>
    <x v="1"/>
    <x v="0"/>
    <n v="1417"/>
  </r>
  <r>
    <x v="1"/>
    <x v="11"/>
    <s v="MMR012CMP115"/>
    <x v="1"/>
    <x v="1"/>
    <n v="1219"/>
  </r>
  <r>
    <x v="1"/>
    <x v="11"/>
    <s v="MMR012CMP115"/>
    <x v="2"/>
    <x v="0"/>
    <n v="985"/>
  </r>
  <r>
    <x v="1"/>
    <x v="11"/>
    <s v="MMR012CMP115"/>
    <x v="2"/>
    <x v="1"/>
    <n v="909"/>
  </r>
  <r>
    <x v="1"/>
    <x v="11"/>
    <s v="MMR012CMP115"/>
    <x v="3"/>
    <x v="0"/>
    <n v="1061"/>
  </r>
  <r>
    <x v="1"/>
    <x v="11"/>
    <s v="MMR012CMP115"/>
    <x v="3"/>
    <x v="1"/>
    <n v="1517"/>
  </r>
  <r>
    <x v="1"/>
    <x v="11"/>
    <s v="MMR012CMP115"/>
    <x v="4"/>
    <x v="0"/>
    <n v="1463"/>
  </r>
  <r>
    <x v="1"/>
    <x v="11"/>
    <s v="MMR012CMP115"/>
    <x v="4"/>
    <x v="1"/>
    <n v="1580"/>
  </r>
  <r>
    <x v="1"/>
    <x v="11"/>
    <s v="MMR012CMP115"/>
    <x v="5"/>
    <x v="0"/>
    <n v="312"/>
  </r>
  <r>
    <x v="1"/>
    <x v="11"/>
    <s v="MMR012CMP115"/>
    <x v="5"/>
    <x v="1"/>
    <n v="322"/>
  </r>
  <r>
    <x v="1"/>
    <x v="12"/>
    <s v="MMR012CMP116"/>
    <x v="0"/>
    <x v="0"/>
    <n v="1116"/>
  </r>
  <r>
    <x v="1"/>
    <x v="12"/>
    <s v="MMR012CMP116"/>
    <x v="0"/>
    <x v="1"/>
    <n v="1041"/>
  </r>
  <r>
    <x v="1"/>
    <x v="12"/>
    <s v="MMR012CMP116"/>
    <x v="1"/>
    <x v="0"/>
    <n v="1250"/>
  </r>
  <r>
    <x v="1"/>
    <x v="12"/>
    <s v="MMR012CMP116"/>
    <x v="1"/>
    <x v="1"/>
    <n v="1062"/>
  </r>
  <r>
    <x v="1"/>
    <x v="12"/>
    <s v="MMR012CMP116"/>
    <x v="2"/>
    <x v="0"/>
    <n v="899"/>
  </r>
  <r>
    <x v="1"/>
    <x v="12"/>
    <s v="MMR012CMP116"/>
    <x v="2"/>
    <x v="1"/>
    <n v="853"/>
  </r>
  <r>
    <x v="1"/>
    <x v="12"/>
    <s v="MMR012CMP116"/>
    <x v="3"/>
    <x v="0"/>
    <n v="633"/>
  </r>
  <r>
    <x v="1"/>
    <x v="12"/>
    <s v="MMR012CMP116"/>
    <x v="3"/>
    <x v="1"/>
    <n v="1023"/>
  </r>
  <r>
    <x v="1"/>
    <x v="12"/>
    <s v="MMR012CMP116"/>
    <x v="4"/>
    <x v="0"/>
    <n v="1430"/>
  </r>
  <r>
    <x v="1"/>
    <x v="12"/>
    <s v="MMR012CMP116"/>
    <x v="4"/>
    <x v="1"/>
    <n v="1724"/>
  </r>
  <r>
    <x v="1"/>
    <x v="12"/>
    <s v="MMR012CMP116"/>
    <x v="5"/>
    <x v="0"/>
    <n v="137"/>
  </r>
  <r>
    <x v="1"/>
    <x v="12"/>
    <s v="MMR012CMP116"/>
    <x v="5"/>
    <x v="1"/>
    <n v="154"/>
  </r>
  <r>
    <x v="1"/>
    <x v="13"/>
    <s v="MMR012CMP045"/>
    <x v="0"/>
    <x v="0"/>
    <n v="1370"/>
  </r>
  <r>
    <x v="1"/>
    <x v="13"/>
    <s v="MMR012CMP045"/>
    <x v="0"/>
    <x v="1"/>
    <n v="1322"/>
  </r>
  <r>
    <x v="1"/>
    <x v="13"/>
    <s v="MMR012CMP045"/>
    <x v="1"/>
    <x v="0"/>
    <n v="1422"/>
  </r>
  <r>
    <x v="1"/>
    <x v="13"/>
    <s v="MMR012CMP045"/>
    <x v="1"/>
    <x v="1"/>
    <n v="1293"/>
  </r>
  <r>
    <x v="1"/>
    <x v="13"/>
    <s v="MMR012CMP045"/>
    <x v="2"/>
    <x v="0"/>
    <n v="1105"/>
  </r>
  <r>
    <x v="1"/>
    <x v="13"/>
    <s v="MMR012CMP045"/>
    <x v="2"/>
    <x v="1"/>
    <n v="1051"/>
  </r>
  <r>
    <x v="1"/>
    <x v="13"/>
    <s v="MMR012CMP045"/>
    <x v="3"/>
    <x v="0"/>
    <n v="1054"/>
  </r>
  <r>
    <x v="1"/>
    <x v="13"/>
    <s v="MMR012CMP045"/>
    <x v="3"/>
    <x v="1"/>
    <n v="1346"/>
  </r>
  <r>
    <x v="1"/>
    <x v="13"/>
    <s v="MMR012CMP045"/>
    <x v="4"/>
    <x v="0"/>
    <n v="1546"/>
  </r>
  <r>
    <x v="1"/>
    <x v="13"/>
    <s v="MMR012CMP045"/>
    <x v="4"/>
    <x v="1"/>
    <n v="1716"/>
  </r>
  <r>
    <x v="1"/>
    <x v="13"/>
    <s v="MMR012CMP045"/>
    <x v="5"/>
    <x v="0"/>
    <n v="241"/>
  </r>
  <r>
    <x v="1"/>
    <x v="13"/>
    <s v="MMR012CMP045"/>
    <x v="5"/>
    <x v="1"/>
    <n v="245"/>
  </r>
  <r>
    <x v="0"/>
    <x v="14"/>
    <s v="MMR012CMP019"/>
    <x v="0"/>
    <x v="0"/>
    <n v="220"/>
  </r>
  <r>
    <x v="0"/>
    <x v="14"/>
    <s v="MMR012CMP019"/>
    <x v="0"/>
    <x v="1"/>
    <n v="191"/>
  </r>
  <r>
    <x v="0"/>
    <x v="14"/>
    <s v="MMR012CMP019"/>
    <x v="1"/>
    <x v="0"/>
    <n v="194"/>
  </r>
  <r>
    <x v="0"/>
    <x v="14"/>
    <s v="MMR012CMP019"/>
    <x v="1"/>
    <x v="1"/>
    <n v="169"/>
  </r>
  <r>
    <x v="0"/>
    <x v="14"/>
    <s v="MMR012CMP019"/>
    <x v="2"/>
    <x v="0"/>
    <n v="217"/>
  </r>
  <r>
    <x v="0"/>
    <x v="14"/>
    <s v="MMR012CMP019"/>
    <x v="2"/>
    <x v="1"/>
    <n v="196"/>
  </r>
  <r>
    <x v="0"/>
    <x v="14"/>
    <s v="MMR012CMP019"/>
    <x v="3"/>
    <x v="0"/>
    <n v="304"/>
  </r>
  <r>
    <x v="0"/>
    <x v="14"/>
    <s v="MMR012CMP019"/>
    <x v="3"/>
    <x v="1"/>
    <n v="325"/>
  </r>
  <r>
    <x v="0"/>
    <x v="14"/>
    <s v="MMR012CMP019"/>
    <x v="4"/>
    <x v="0"/>
    <n v="409"/>
  </r>
  <r>
    <x v="0"/>
    <x v="14"/>
    <s v="MMR012CMP019"/>
    <x v="4"/>
    <x v="1"/>
    <n v="443"/>
  </r>
  <r>
    <x v="0"/>
    <x v="14"/>
    <s v="MMR012CMP019"/>
    <x v="5"/>
    <x v="0"/>
    <n v="88"/>
  </r>
  <r>
    <x v="0"/>
    <x v="14"/>
    <s v="MMR012CMP019"/>
    <x v="5"/>
    <x v="1"/>
    <n v="89"/>
  </r>
  <r>
    <x v="2"/>
    <x v="15"/>
    <s v="MMR012CMP014"/>
    <x v="0"/>
    <x v="0"/>
    <n v="194"/>
  </r>
  <r>
    <x v="2"/>
    <x v="15"/>
    <s v="MMR012CMP014"/>
    <x v="0"/>
    <x v="1"/>
    <n v="187"/>
  </r>
  <r>
    <x v="2"/>
    <x v="15"/>
    <s v="MMR012CMP014"/>
    <x v="1"/>
    <x v="0"/>
    <n v="262"/>
  </r>
  <r>
    <x v="2"/>
    <x v="15"/>
    <s v="MMR012CMP014"/>
    <x v="1"/>
    <x v="1"/>
    <n v="221"/>
  </r>
  <r>
    <x v="2"/>
    <x v="15"/>
    <s v="MMR012CMP014"/>
    <x v="2"/>
    <x v="0"/>
    <n v="226"/>
  </r>
  <r>
    <x v="2"/>
    <x v="15"/>
    <s v="MMR012CMP014"/>
    <x v="2"/>
    <x v="1"/>
    <n v="244"/>
  </r>
  <r>
    <x v="2"/>
    <x v="15"/>
    <s v="MMR012CMP014"/>
    <x v="3"/>
    <x v="0"/>
    <n v="188"/>
  </r>
  <r>
    <x v="2"/>
    <x v="15"/>
    <s v="MMR012CMP014"/>
    <x v="3"/>
    <x v="1"/>
    <n v="225"/>
  </r>
  <r>
    <x v="2"/>
    <x v="15"/>
    <s v="MMR012CMP014"/>
    <x v="4"/>
    <x v="0"/>
    <n v="350"/>
  </r>
  <r>
    <x v="2"/>
    <x v="15"/>
    <s v="MMR012CMP014"/>
    <x v="4"/>
    <x v="1"/>
    <n v="438"/>
  </r>
  <r>
    <x v="2"/>
    <x v="15"/>
    <s v="MMR012CMP014"/>
    <x v="5"/>
    <x v="0"/>
    <n v="74"/>
  </r>
  <r>
    <x v="2"/>
    <x v="15"/>
    <s v="MMR012CMP014"/>
    <x v="5"/>
    <x v="1"/>
    <n v="81"/>
  </r>
  <r>
    <x v="1"/>
    <x v="16"/>
    <s v="MMR012CMP046"/>
    <x v="0"/>
    <x v="0"/>
    <n v="1003"/>
  </r>
  <r>
    <x v="1"/>
    <x v="16"/>
    <s v="MMR012CMP046"/>
    <x v="0"/>
    <x v="1"/>
    <n v="1106"/>
  </r>
  <r>
    <x v="1"/>
    <x v="16"/>
    <s v="MMR012CMP046"/>
    <x v="1"/>
    <x v="0"/>
    <n v="1070"/>
  </r>
  <r>
    <x v="1"/>
    <x v="16"/>
    <s v="MMR012CMP046"/>
    <x v="1"/>
    <x v="1"/>
    <n v="1104"/>
  </r>
  <r>
    <x v="1"/>
    <x v="16"/>
    <s v="MMR012CMP046"/>
    <x v="2"/>
    <x v="0"/>
    <n v="1043"/>
  </r>
  <r>
    <x v="1"/>
    <x v="16"/>
    <s v="MMR012CMP046"/>
    <x v="2"/>
    <x v="1"/>
    <n v="1024"/>
  </r>
  <r>
    <x v="1"/>
    <x v="16"/>
    <s v="MMR012CMP046"/>
    <x v="3"/>
    <x v="0"/>
    <n v="1111"/>
  </r>
  <r>
    <x v="1"/>
    <x v="16"/>
    <s v="MMR012CMP046"/>
    <x v="3"/>
    <x v="1"/>
    <n v="1236"/>
  </r>
  <r>
    <x v="1"/>
    <x v="16"/>
    <s v="MMR012CMP046"/>
    <x v="4"/>
    <x v="0"/>
    <n v="1882"/>
  </r>
  <r>
    <x v="1"/>
    <x v="16"/>
    <s v="MMR012CMP046"/>
    <x v="4"/>
    <x v="1"/>
    <n v="1975"/>
  </r>
  <r>
    <x v="1"/>
    <x v="16"/>
    <s v="MMR012CMP046"/>
    <x v="5"/>
    <x v="0"/>
    <n v="258"/>
  </r>
  <r>
    <x v="1"/>
    <x v="16"/>
    <s v="MMR012CMP046"/>
    <x v="5"/>
    <x v="1"/>
    <n v="260"/>
  </r>
  <r>
    <x v="1"/>
    <x v="17"/>
    <s v="MMR012CMP048"/>
    <x v="0"/>
    <x v="0"/>
    <n v="544"/>
  </r>
  <r>
    <x v="1"/>
    <x v="17"/>
    <s v="MMR012CMP048"/>
    <x v="0"/>
    <x v="1"/>
    <n v="623"/>
  </r>
  <r>
    <x v="1"/>
    <x v="17"/>
    <s v="MMR012CMP048"/>
    <x v="1"/>
    <x v="0"/>
    <n v="569"/>
  </r>
  <r>
    <x v="1"/>
    <x v="17"/>
    <s v="MMR012CMP048"/>
    <x v="1"/>
    <x v="1"/>
    <n v="497"/>
  </r>
  <r>
    <x v="1"/>
    <x v="17"/>
    <s v="MMR012CMP048"/>
    <x v="2"/>
    <x v="0"/>
    <n v="459"/>
  </r>
  <r>
    <x v="1"/>
    <x v="17"/>
    <s v="MMR012CMP048"/>
    <x v="2"/>
    <x v="1"/>
    <n v="451"/>
  </r>
  <r>
    <x v="1"/>
    <x v="17"/>
    <s v="MMR012CMP048"/>
    <x v="3"/>
    <x v="0"/>
    <n v="469"/>
  </r>
  <r>
    <x v="1"/>
    <x v="17"/>
    <s v="MMR012CMP048"/>
    <x v="3"/>
    <x v="1"/>
    <n v="614"/>
  </r>
  <r>
    <x v="1"/>
    <x v="17"/>
    <s v="MMR012CMP048"/>
    <x v="4"/>
    <x v="0"/>
    <n v="692"/>
  </r>
  <r>
    <x v="1"/>
    <x v="17"/>
    <s v="MMR012CMP048"/>
    <x v="4"/>
    <x v="1"/>
    <n v="771"/>
  </r>
  <r>
    <x v="1"/>
    <x v="17"/>
    <s v="MMR012CMP048"/>
    <x v="5"/>
    <x v="0"/>
    <n v="111"/>
  </r>
  <r>
    <x v="1"/>
    <x v="17"/>
    <s v="MMR012CMP048"/>
    <x v="5"/>
    <x v="1"/>
    <n v="126"/>
  </r>
  <r>
    <x v="1"/>
    <x v="18"/>
    <s v="MMR012CMP039"/>
    <x v="0"/>
    <x v="0"/>
    <n v="254"/>
  </r>
  <r>
    <x v="1"/>
    <x v="18"/>
    <s v="MMR012CMP039"/>
    <x v="0"/>
    <x v="1"/>
    <n v="215"/>
  </r>
  <r>
    <x v="1"/>
    <x v="18"/>
    <s v="MMR012CMP039"/>
    <x v="1"/>
    <x v="0"/>
    <n v="196"/>
  </r>
  <r>
    <x v="1"/>
    <x v="18"/>
    <s v="MMR012CMP039"/>
    <x v="1"/>
    <x v="1"/>
    <n v="184"/>
  </r>
  <r>
    <x v="1"/>
    <x v="18"/>
    <s v="MMR012CMP039"/>
    <x v="2"/>
    <x v="0"/>
    <n v="141"/>
  </r>
  <r>
    <x v="1"/>
    <x v="18"/>
    <s v="MMR012CMP039"/>
    <x v="2"/>
    <x v="1"/>
    <n v="132"/>
  </r>
  <r>
    <x v="1"/>
    <x v="18"/>
    <s v="MMR012CMP039"/>
    <x v="3"/>
    <x v="0"/>
    <n v="142"/>
  </r>
  <r>
    <x v="1"/>
    <x v="18"/>
    <s v="MMR012CMP039"/>
    <x v="3"/>
    <x v="1"/>
    <n v="213"/>
  </r>
  <r>
    <x v="1"/>
    <x v="18"/>
    <s v="MMR012CMP039"/>
    <x v="4"/>
    <x v="0"/>
    <n v="333"/>
  </r>
  <r>
    <x v="1"/>
    <x v="18"/>
    <s v="MMR012CMP039"/>
    <x v="4"/>
    <x v="1"/>
    <n v="349"/>
  </r>
  <r>
    <x v="1"/>
    <x v="18"/>
    <s v="MMR012CMP039"/>
    <x v="5"/>
    <x v="0"/>
    <n v="49"/>
  </r>
  <r>
    <x v="1"/>
    <x v="18"/>
    <s v="MMR012CMP039"/>
    <x v="5"/>
    <x v="1"/>
    <n v="59"/>
  </r>
</pivotCacheRecords>
</file>

<file path=xl/pivotCache/pivotCacheRecords3.xml><?xml version="1.0" encoding="utf-8"?>
<pivotCacheRecords xmlns="http://schemas.openxmlformats.org/spreadsheetml/2006/main" xmlns:r="http://schemas.openxmlformats.org/officeDocument/2006/relationships" count="228">
  <r>
    <s v="Rakhine"/>
    <x v="0"/>
    <x v="0"/>
    <s v="MMR012CMP016"/>
    <x v="0"/>
    <x v="0"/>
    <n v="530"/>
    <n v="-530"/>
    <s v="LWF"/>
    <d v="2018-09-30T00:00:00"/>
  </r>
  <r>
    <s v="Rakhine"/>
    <x v="0"/>
    <x v="0"/>
    <s v="MMR012CMP016"/>
    <x v="0"/>
    <x v="1"/>
    <n v="467"/>
    <n v="467"/>
    <s v="LWF"/>
    <d v="2018-09-30T00:00:00"/>
  </r>
  <r>
    <s v="Rakhine"/>
    <x v="0"/>
    <x v="0"/>
    <s v="MMR012CMP016"/>
    <x v="1"/>
    <x v="0"/>
    <n v="526"/>
    <n v="-526"/>
    <s v="LWF"/>
    <d v="2018-09-30T00:00:00"/>
  </r>
  <r>
    <s v="Rakhine"/>
    <x v="0"/>
    <x v="0"/>
    <s v="MMR012CMP016"/>
    <x v="1"/>
    <x v="1"/>
    <n v="508"/>
    <n v="508"/>
    <s v="LWF"/>
    <d v="2018-09-30T00:00:00"/>
  </r>
  <r>
    <s v="Rakhine"/>
    <x v="0"/>
    <x v="0"/>
    <s v="MMR012CMP016"/>
    <x v="2"/>
    <x v="0"/>
    <n v="392"/>
    <n v="-392"/>
    <s v="LWF"/>
    <d v="2018-09-30T00:00:00"/>
  </r>
  <r>
    <s v="Rakhine"/>
    <x v="0"/>
    <x v="0"/>
    <s v="MMR012CMP016"/>
    <x v="2"/>
    <x v="1"/>
    <n v="338"/>
    <n v="338"/>
    <s v="LWF"/>
    <d v="2018-09-30T00:00:00"/>
  </r>
  <r>
    <s v="Rakhine"/>
    <x v="0"/>
    <x v="0"/>
    <s v="MMR012CMP016"/>
    <x v="3"/>
    <x v="0"/>
    <n v="322"/>
    <n v="-322"/>
    <s v="LWF"/>
    <d v="2018-09-30T00:00:00"/>
  </r>
  <r>
    <s v="Rakhine"/>
    <x v="0"/>
    <x v="0"/>
    <s v="MMR012CMP016"/>
    <x v="3"/>
    <x v="1"/>
    <n v="448"/>
    <n v="448"/>
    <s v="LWF"/>
    <d v="2018-09-30T00:00:00"/>
  </r>
  <r>
    <s v="Rakhine"/>
    <x v="0"/>
    <x v="0"/>
    <s v="MMR012CMP016"/>
    <x v="4"/>
    <x v="0"/>
    <n v="495"/>
    <n v="-495"/>
    <s v="LWF"/>
    <d v="2018-09-30T00:00:00"/>
  </r>
  <r>
    <s v="Rakhine"/>
    <x v="0"/>
    <x v="0"/>
    <s v="MMR012CMP016"/>
    <x v="4"/>
    <x v="1"/>
    <n v="596"/>
    <n v="596"/>
    <s v="LWF"/>
    <d v="2018-09-30T00:00:00"/>
  </r>
  <r>
    <s v="Rakhine"/>
    <x v="0"/>
    <x v="0"/>
    <s v="MMR012CMP016"/>
    <x v="5"/>
    <x v="0"/>
    <n v="56"/>
    <n v="-56"/>
    <s v="LWF"/>
    <d v="2018-09-30T00:00:00"/>
  </r>
  <r>
    <s v="Rakhine"/>
    <x v="0"/>
    <x v="0"/>
    <s v="MMR012CMP016"/>
    <x v="5"/>
    <x v="1"/>
    <n v="48"/>
    <n v="48"/>
    <s v="LWF"/>
    <d v="2018-09-30T00:00:00"/>
  </r>
  <r>
    <s v="Rakhine"/>
    <x v="1"/>
    <x v="1"/>
    <s v="MMR012CMP113"/>
    <x v="0"/>
    <x v="0"/>
    <n v="380"/>
    <n v="-380"/>
    <s v="DRC"/>
    <d v="2018-10-31T00:00:00"/>
  </r>
  <r>
    <s v="Rakhine"/>
    <x v="1"/>
    <x v="1"/>
    <s v="MMR012CMP113"/>
    <x v="0"/>
    <x v="1"/>
    <n v="398"/>
    <n v="398"/>
    <s v="DRC"/>
    <d v="2018-10-31T00:00:00"/>
  </r>
  <r>
    <s v="Rakhine"/>
    <x v="1"/>
    <x v="1"/>
    <s v="MMR012CMP113"/>
    <x v="1"/>
    <x v="0"/>
    <n v="390"/>
    <n v="-390"/>
    <s v="DRC"/>
    <d v="2018-10-31T00:00:00"/>
  </r>
  <r>
    <s v="Rakhine"/>
    <x v="1"/>
    <x v="1"/>
    <s v="MMR012CMP113"/>
    <x v="1"/>
    <x v="1"/>
    <n v="359"/>
    <n v="359"/>
    <s v="DRC"/>
    <d v="2018-10-31T00:00:00"/>
  </r>
  <r>
    <s v="Rakhine"/>
    <x v="1"/>
    <x v="1"/>
    <s v="MMR012CMP113"/>
    <x v="2"/>
    <x v="0"/>
    <n v="413"/>
    <n v="-413"/>
    <s v="DRC"/>
    <d v="2018-10-31T00:00:00"/>
  </r>
  <r>
    <s v="Rakhine"/>
    <x v="1"/>
    <x v="1"/>
    <s v="MMR012CMP113"/>
    <x v="2"/>
    <x v="1"/>
    <n v="325"/>
    <n v="325"/>
    <s v="DRC"/>
    <d v="2018-10-31T00:00:00"/>
  </r>
  <r>
    <s v="Rakhine"/>
    <x v="1"/>
    <x v="1"/>
    <s v="MMR012CMP113"/>
    <x v="3"/>
    <x v="0"/>
    <n v="351"/>
    <n v="-351"/>
    <s v="DRC"/>
    <d v="2018-10-31T00:00:00"/>
  </r>
  <r>
    <s v="Rakhine"/>
    <x v="1"/>
    <x v="1"/>
    <s v="MMR012CMP113"/>
    <x v="3"/>
    <x v="1"/>
    <n v="422"/>
    <n v="422"/>
    <s v="DRC"/>
    <d v="2018-10-31T00:00:00"/>
  </r>
  <r>
    <s v="Rakhine"/>
    <x v="1"/>
    <x v="1"/>
    <s v="MMR012CMP113"/>
    <x v="4"/>
    <x v="0"/>
    <n v="753"/>
    <n v="-753"/>
    <s v="DRC"/>
    <d v="2018-10-31T00:00:00"/>
  </r>
  <r>
    <s v="Rakhine"/>
    <x v="1"/>
    <x v="1"/>
    <s v="MMR012CMP113"/>
    <x v="4"/>
    <x v="1"/>
    <n v="801"/>
    <n v="801"/>
    <s v="DRC"/>
    <d v="2018-10-31T00:00:00"/>
  </r>
  <r>
    <s v="Rakhine"/>
    <x v="1"/>
    <x v="1"/>
    <s v="MMR012CMP113"/>
    <x v="5"/>
    <x v="0"/>
    <n v="81"/>
    <n v="-81"/>
    <s v="DRC"/>
    <d v="2018-10-31T00:00:00"/>
  </r>
  <r>
    <s v="Rakhine"/>
    <x v="1"/>
    <x v="1"/>
    <s v="MMR012CMP113"/>
    <x v="5"/>
    <x v="1"/>
    <n v="84"/>
    <n v="84"/>
    <s v="DRC"/>
    <d v="2018-10-31T00:00:00"/>
  </r>
  <r>
    <s v="Rakhine"/>
    <x v="1"/>
    <x v="2"/>
    <s v="MMR012CMP114"/>
    <x v="0"/>
    <x v="0"/>
    <n v="594"/>
    <n v="-594"/>
    <s v="DRC"/>
    <d v="2018-09-30T00:00:00"/>
  </r>
  <r>
    <s v="Rakhine"/>
    <x v="1"/>
    <x v="2"/>
    <s v="MMR012CMP114"/>
    <x v="0"/>
    <x v="1"/>
    <n v="627"/>
    <n v="627"/>
    <s v="DRC"/>
    <d v="2018-09-30T00:00:00"/>
  </r>
  <r>
    <s v="Rakhine"/>
    <x v="1"/>
    <x v="2"/>
    <s v="MMR012CMP114"/>
    <x v="1"/>
    <x v="0"/>
    <n v="658"/>
    <n v="-658"/>
    <s v="DRC"/>
    <d v="2018-09-30T00:00:00"/>
  </r>
  <r>
    <s v="Rakhine"/>
    <x v="1"/>
    <x v="2"/>
    <s v="MMR012CMP114"/>
    <x v="1"/>
    <x v="1"/>
    <n v="618"/>
    <n v="618"/>
    <s v="DRC"/>
    <d v="2018-09-30T00:00:00"/>
  </r>
  <r>
    <s v="Rakhine"/>
    <x v="1"/>
    <x v="2"/>
    <s v="MMR012CMP114"/>
    <x v="2"/>
    <x v="0"/>
    <n v="560"/>
    <n v="-560"/>
    <s v="DRC"/>
    <d v="2018-09-30T00:00:00"/>
  </r>
  <r>
    <s v="Rakhine"/>
    <x v="1"/>
    <x v="2"/>
    <s v="MMR012CMP114"/>
    <x v="2"/>
    <x v="1"/>
    <n v="537"/>
    <n v="537"/>
    <s v="DRC"/>
    <d v="2018-09-30T00:00:00"/>
  </r>
  <r>
    <s v="Rakhine"/>
    <x v="1"/>
    <x v="2"/>
    <s v="MMR012CMP114"/>
    <x v="3"/>
    <x v="0"/>
    <n v="633"/>
    <n v="-633"/>
    <s v="DRC"/>
    <d v="2018-09-30T00:00:00"/>
  </r>
  <r>
    <s v="Rakhine"/>
    <x v="1"/>
    <x v="2"/>
    <s v="MMR012CMP114"/>
    <x v="3"/>
    <x v="1"/>
    <n v="782"/>
    <n v="782"/>
    <s v="DRC"/>
    <d v="2018-09-30T00:00:00"/>
  </r>
  <r>
    <s v="Rakhine"/>
    <x v="1"/>
    <x v="2"/>
    <s v="MMR012CMP114"/>
    <x v="4"/>
    <x v="0"/>
    <n v="654"/>
    <n v="-654"/>
    <s v="DRC"/>
    <d v="2018-09-30T00:00:00"/>
  </r>
  <r>
    <s v="Rakhine"/>
    <x v="1"/>
    <x v="2"/>
    <s v="MMR012CMP114"/>
    <x v="4"/>
    <x v="1"/>
    <n v="739"/>
    <n v="739"/>
    <s v="DRC"/>
    <d v="2018-09-30T00:00:00"/>
  </r>
  <r>
    <s v="Rakhine"/>
    <x v="1"/>
    <x v="2"/>
    <s v="MMR012CMP114"/>
    <x v="5"/>
    <x v="0"/>
    <n v="104"/>
    <n v="-104"/>
    <s v="DRC"/>
    <d v="2018-09-30T00:00:00"/>
  </r>
  <r>
    <s v="Rakhine"/>
    <x v="1"/>
    <x v="2"/>
    <s v="MMR012CMP114"/>
    <x v="5"/>
    <x v="1"/>
    <n v="105"/>
    <n v="105"/>
    <s v="DRC"/>
    <d v="2018-09-30T00:00:00"/>
  </r>
  <r>
    <s v="Rakhine"/>
    <x v="1"/>
    <x v="3"/>
    <s v="MMR012CMP041"/>
    <x v="0"/>
    <x v="0"/>
    <n v="1017.9647974726391"/>
    <n v="-1017.9647974726391"/>
    <s v="DRC"/>
    <d v="2018-09-30T00:00:00"/>
  </r>
  <r>
    <s v="Rakhine"/>
    <x v="1"/>
    <x v="3"/>
    <s v="MMR012CMP041"/>
    <x v="0"/>
    <x v="1"/>
    <n v="963"/>
    <n v="963"/>
    <s v="DRC"/>
    <d v="2018-09-30T00:00:00"/>
  </r>
  <r>
    <s v="Rakhine"/>
    <x v="1"/>
    <x v="3"/>
    <s v="MMR012CMP041"/>
    <x v="1"/>
    <x v="0"/>
    <n v="1078.2221595396593"/>
    <n v="-1078.2221595396593"/>
    <s v="DRC"/>
    <d v="2018-09-30T00:00:00"/>
  </r>
  <r>
    <s v="Rakhine"/>
    <x v="1"/>
    <x v="3"/>
    <s v="MMR012CMP041"/>
    <x v="1"/>
    <x v="1"/>
    <n v="1087"/>
    <n v="1087"/>
    <s v="DRC"/>
    <d v="2018-09-30T00:00:00"/>
  </r>
  <r>
    <s v="Rakhine"/>
    <x v="1"/>
    <x v="3"/>
    <s v="MMR012CMP041"/>
    <x v="2"/>
    <x v="0"/>
    <n v="926.93771860543836"/>
    <n v="-926.93771860543836"/>
    <s v="DRC"/>
    <d v="2018-09-30T00:00:00"/>
  </r>
  <r>
    <s v="Rakhine"/>
    <x v="1"/>
    <x v="3"/>
    <s v="MMR012CMP041"/>
    <x v="2"/>
    <x v="1"/>
    <n v="956"/>
    <n v="956"/>
    <s v="DRC"/>
    <d v="2018-09-30T00:00:00"/>
  </r>
  <r>
    <s v="Rakhine"/>
    <x v="1"/>
    <x v="3"/>
    <s v="MMR012CMP041"/>
    <x v="3"/>
    <x v="0"/>
    <n v="947"/>
    <n v="-947"/>
    <s v="DRC"/>
    <d v="2018-09-30T00:00:00"/>
  </r>
  <r>
    <s v="Rakhine"/>
    <x v="1"/>
    <x v="3"/>
    <s v="MMR012CMP041"/>
    <x v="3"/>
    <x v="1"/>
    <n v="1207.7113844070857"/>
    <n v="1207.7113844070857"/>
    <s v="DRC"/>
    <d v="2018-09-30T00:00:00"/>
  </r>
  <r>
    <s v="Rakhine"/>
    <x v="1"/>
    <x v="3"/>
    <s v="MMR012CMP041"/>
    <x v="4"/>
    <x v="0"/>
    <n v="1321"/>
    <n v="-1321"/>
    <s v="DRC"/>
    <d v="2018-09-30T00:00:00"/>
  </r>
  <r>
    <s v="Rakhine"/>
    <x v="1"/>
    <x v="3"/>
    <s v="MMR012CMP041"/>
    <x v="4"/>
    <x v="1"/>
    <n v="1389.765542141487"/>
    <n v="1389.765542141487"/>
    <s v="DRC"/>
    <d v="2018-09-30T00:00:00"/>
  </r>
  <r>
    <s v="Rakhine"/>
    <x v="1"/>
    <x v="3"/>
    <s v="MMR012CMP041"/>
    <x v="5"/>
    <x v="0"/>
    <n v="234"/>
    <n v="-234"/>
    <s v="DRC"/>
    <d v="2018-09-30T00:00:00"/>
  </r>
  <r>
    <s v="Rakhine"/>
    <x v="1"/>
    <x v="3"/>
    <s v="MMR012CMP041"/>
    <x v="5"/>
    <x v="1"/>
    <n v="234"/>
    <n v="234"/>
    <s v="DRC"/>
    <d v="2018-09-30T00:00:00"/>
  </r>
  <r>
    <s v="Rakhine"/>
    <x v="1"/>
    <x v="4"/>
    <s v="MMR012CMP042"/>
    <x v="0"/>
    <x v="0"/>
    <n v="229"/>
    <n v="-229"/>
    <s v="LWF"/>
    <d v="2018-09-30T00:00:00"/>
  </r>
  <r>
    <s v="Rakhine"/>
    <x v="1"/>
    <x v="4"/>
    <s v="MMR012CMP042"/>
    <x v="0"/>
    <x v="1"/>
    <n v="256"/>
    <n v="256"/>
    <s v="LWF"/>
    <d v="2018-09-30T00:00:00"/>
  </r>
  <r>
    <s v="Rakhine"/>
    <x v="1"/>
    <x v="4"/>
    <s v="MMR012CMP042"/>
    <x v="1"/>
    <x v="0"/>
    <n v="225"/>
    <n v="-225"/>
    <s v="LWF"/>
    <d v="2018-09-30T00:00:00"/>
  </r>
  <r>
    <s v="Rakhine"/>
    <x v="1"/>
    <x v="4"/>
    <s v="MMR012CMP042"/>
    <x v="1"/>
    <x v="1"/>
    <n v="206"/>
    <n v="206"/>
    <s v="LWF"/>
    <d v="2018-09-30T00:00:00"/>
  </r>
  <r>
    <s v="Rakhine"/>
    <x v="1"/>
    <x v="4"/>
    <s v="MMR012CMP042"/>
    <x v="2"/>
    <x v="0"/>
    <n v="161"/>
    <n v="-161"/>
    <s v="LWF"/>
    <d v="2018-09-30T00:00:00"/>
  </r>
  <r>
    <s v="Rakhine"/>
    <x v="1"/>
    <x v="4"/>
    <s v="MMR012CMP042"/>
    <x v="2"/>
    <x v="1"/>
    <n v="157"/>
    <n v="157"/>
    <s v="LWF"/>
    <d v="2018-09-30T00:00:00"/>
  </r>
  <r>
    <s v="Rakhine"/>
    <x v="1"/>
    <x v="4"/>
    <s v="MMR012CMP042"/>
    <x v="3"/>
    <x v="0"/>
    <n v="166"/>
    <n v="-166"/>
    <s v="LWF"/>
    <d v="2018-09-30T00:00:00"/>
  </r>
  <r>
    <s v="Rakhine"/>
    <x v="1"/>
    <x v="4"/>
    <s v="MMR012CMP042"/>
    <x v="3"/>
    <x v="1"/>
    <n v="204"/>
    <n v="204"/>
    <s v="LWF"/>
    <d v="2018-09-30T00:00:00"/>
  </r>
  <r>
    <s v="Rakhine"/>
    <x v="1"/>
    <x v="4"/>
    <s v="MMR012CMP042"/>
    <x v="4"/>
    <x v="0"/>
    <n v="308"/>
    <n v="-308"/>
    <s v="LWF"/>
    <d v="2018-09-30T00:00:00"/>
  </r>
  <r>
    <s v="Rakhine"/>
    <x v="1"/>
    <x v="4"/>
    <s v="MMR012CMP042"/>
    <x v="4"/>
    <x v="1"/>
    <n v="336"/>
    <n v="336"/>
    <s v="LWF"/>
    <d v="2018-09-30T00:00:00"/>
  </r>
  <r>
    <s v="Rakhine"/>
    <x v="1"/>
    <x v="4"/>
    <s v="MMR012CMP042"/>
    <x v="5"/>
    <x v="0"/>
    <n v="26"/>
    <n v="-26"/>
    <s v="LWF"/>
    <d v="2018-09-30T00:00:00"/>
  </r>
  <r>
    <s v="Rakhine"/>
    <x v="1"/>
    <x v="4"/>
    <s v="MMR012CMP042"/>
    <x v="5"/>
    <x v="1"/>
    <n v="32"/>
    <n v="32"/>
    <s v="LWF"/>
    <d v="2018-09-30T00:00:00"/>
  </r>
  <r>
    <s v="Rakhine"/>
    <x v="1"/>
    <x v="5"/>
    <s v="MMR012CMP042"/>
    <x v="0"/>
    <x v="0"/>
    <n v="239"/>
    <n v="-239"/>
    <s v="LWF"/>
    <d v="2018-09-30T00:00:00"/>
  </r>
  <r>
    <s v="Rakhine"/>
    <x v="1"/>
    <x v="5"/>
    <s v="MMR012CMP042"/>
    <x v="0"/>
    <x v="1"/>
    <n v="218"/>
    <n v="218"/>
    <s v="LWF"/>
    <d v="2018-09-30T00:00:00"/>
  </r>
  <r>
    <s v="Rakhine"/>
    <x v="1"/>
    <x v="5"/>
    <s v="MMR012CMP042"/>
    <x v="1"/>
    <x v="0"/>
    <n v="193"/>
    <n v="-193"/>
    <s v="LWF"/>
    <d v="2018-09-30T00:00:00"/>
  </r>
  <r>
    <s v="Rakhine"/>
    <x v="1"/>
    <x v="5"/>
    <s v="MMR012CMP042"/>
    <x v="1"/>
    <x v="1"/>
    <n v="184"/>
    <n v="184"/>
    <s v="LWF"/>
    <d v="2018-09-30T00:00:00"/>
  </r>
  <r>
    <s v="Rakhine"/>
    <x v="1"/>
    <x v="5"/>
    <s v="MMR012CMP042"/>
    <x v="2"/>
    <x v="0"/>
    <n v="177"/>
    <n v="-177"/>
    <s v="LWF"/>
    <d v="2018-09-30T00:00:00"/>
  </r>
  <r>
    <s v="Rakhine"/>
    <x v="1"/>
    <x v="5"/>
    <s v="MMR012CMP042"/>
    <x v="2"/>
    <x v="1"/>
    <n v="140"/>
    <n v="140"/>
    <s v="LWF"/>
    <d v="2018-09-30T00:00:00"/>
  </r>
  <r>
    <s v="Rakhine"/>
    <x v="1"/>
    <x v="5"/>
    <s v="MMR012CMP042"/>
    <x v="3"/>
    <x v="0"/>
    <n v="149"/>
    <n v="-149"/>
    <s v="LWF"/>
    <d v="2018-09-30T00:00:00"/>
  </r>
  <r>
    <s v="Rakhine"/>
    <x v="1"/>
    <x v="5"/>
    <s v="MMR012CMP042"/>
    <x v="3"/>
    <x v="1"/>
    <n v="255"/>
    <n v="255"/>
    <s v="LWF"/>
    <d v="2018-09-30T00:00:00"/>
  </r>
  <r>
    <s v="Rakhine"/>
    <x v="1"/>
    <x v="5"/>
    <s v="MMR012CMP042"/>
    <x v="4"/>
    <x v="0"/>
    <n v="300"/>
    <n v="-300"/>
    <s v="LWF"/>
    <d v="2018-09-30T00:00:00"/>
  </r>
  <r>
    <s v="Rakhine"/>
    <x v="1"/>
    <x v="5"/>
    <s v="MMR012CMP042"/>
    <x v="4"/>
    <x v="1"/>
    <n v="292"/>
    <n v="292"/>
    <s v="LWF"/>
    <d v="2018-09-30T00:00:00"/>
  </r>
  <r>
    <s v="Rakhine"/>
    <x v="1"/>
    <x v="5"/>
    <s v="MMR012CMP042"/>
    <x v="5"/>
    <x v="0"/>
    <n v="40"/>
    <n v="-40"/>
    <s v="LWF"/>
    <d v="2018-09-30T00:00:00"/>
  </r>
  <r>
    <s v="Rakhine"/>
    <x v="1"/>
    <x v="5"/>
    <s v="MMR012CMP042"/>
    <x v="5"/>
    <x v="1"/>
    <n v="42"/>
    <n v="42"/>
    <s v="LWF"/>
    <d v="2018-09-30T00:00:00"/>
  </r>
  <r>
    <s v="Rakhine"/>
    <x v="0"/>
    <x v="6"/>
    <s v="MMR012CMP018"/>
    <x v="0"/>
    <x v="0"/>
    <n v="737"/>
    <n v="-737"/>
    <s v="DRC"/>
    <d v="2018-09-30T00:00:00"/>
  </r>
  <r>
    <s v="Rakhine"/>
    <x v="0"/>
    <x v="6"/>
    <s v="MMR012CMP018"/>
    <x v="0"/>
    <x v="1"/>
    <n v="788"/>
    <n v="788"/>
    <s v="DRC"/>
    <d v="2018-09-30T00:00:00"/>
  </r>
  <r>
    <s v="Rakhine"/>
    <x v="0"/>
    <x v="6"/>
    <s v="MMR012CMP018"/>
    <x v="1"/>
    <x v="0"/>
    <n v="565"/>
    <n v="-565"/>
    <s v="DRC"/>
    <d v="2018-09-30T00:00:00"/>
  </r>
  <r>
    <s v="Rakhine"/>
    <x v="0"/>
    <x v="6"/>
    <s v="MMR012CMP018"/>
    <x v="1"/>
    <x v="1"/>
    <n v="541"/>
    <n v="541"/>
    <s v="DRC"/>
    <d v="2018-09-30T00:00:00"/>
  </r>
  <r>
    <s v="Rakhine"/>
    <x v="0"/>
    <x v="6"/>
    <s v="MMR012CMP018"/>
    <x v="2"/>
    <x v="0"/>
    <n v="338"/>
    <n v="-338"/>
    <s v="DRC"/>
    <d v="2018-09-30T00:00:00"/>
  </r>
  <r>
    <s v="Rakhine"/>
    <x v="0"/>
    <x v="6"/>
    <s v="MMR012CMP018"/>
    <x v="2"/>
    <x v="1"/>
    <n v="282"/>
    <n v="282"/>
    <s v="DRC"/>
    <d v="2018-09-30T00:00:00"/>
  </r>
  <r>
    <s v="Rakhine"/>
    <x v="0"/>
    <x v="6"/>
    <s v="MMR012CMP018"/>
    <x v="3"/>
    <x v="0"/>
    <n v="500"/>
    <n v="-500"/>
    <s v="DRC"/>
    <d v="2018-09-30T00:00:00"/>
  </r>
  <r>
    <s v="Rakhine"/>
    <x v="0"/>
    <x v="6"/>
    <s v="MMR012CMP018"/>
    <x v="3"/>
    <x v="1"/>
    <n v="738"/>
    <n v="738"/>
    <s v="DRC"/>
    <d v="2018-09-30T00:00:00"/>
  </r>
  <r>
    <s v="Rakhine"/>
    <x v="0"/>
    <x v="6"/>
    <s v="MMR012CMP018"/>
    <x v="4"/>
    <x v="0"/>
    <n v="672"/>
    <n v="-672"/>
    <s v="DRC"/>
    <d v="2018-09-30T00:00:00"/>
  </r>
  <r>
    <s v="Rakhine"/>
    <x v="0"/>
    <x v="6"/>
    <s v="MMR012CMP018"/>
    <x v="4"/>
    <x v="1"/>
    <n v="575"/>
    <n v="575"/>
    <s v="DRC"/>
    <d v="2018-09-30T00:00:00"/>
  </r>
  <r>
    <s v="Rakhine"/>
    <x v="0"/>
    <x v="6"/>
    <s v="MMR012CMP018"/>
    <x v="5"/>
    <x v="0"/>
    <n v="118"/>
    <n v="-118"/>
    <s v="DRC"/>
    <d v="2018-09-30T00:00:00"/>
  </r>
  <r>
    <s v="Rakhine"/>
    <x v="0"/>
    <x v="6"/>
    <s v="MMR012CMP018"/>
    <x v="5"/>
    <x v="1"/>
    <n v="91"/>
    <n v="91"/>
    <s v="DRC"/>
    <d v="2018-09-30T00:00:00"/>
  </r>
  <r>
    <s v="Rakhine"/>
    <x v="1"/>
    <x v="7"/>
    <s v="MMR012CMP092"/>
    <x v="0"/>
    <x v="0"/>
    <n v="328"/>
    <n v="-328"/>
    <s v="NRC"/>
    <d v="2018-10-31T00:00:00"/>
  </r>
  <r>
    <s v="Rakhine"/>
    <x v="1"/>
    <x v="7"/>
    <s v="MMR012CMP092"/>
    <x v="0"/>
    <x v="1"/>
    <n v="254"/>
    <n v="254"/>
    <s v="NRC"/>
    <d v="2018-10-31T00:00:00"/>
  </r>
  <r>
    <s v="Rakhine"/>
    <x v="1"/>
    <x v="7"/>
    <s v="MMR012CMP092"/>
    <x v="1"/>
    <x v="0"/>
    <n v="333"/>
    <n v="-333"/>
    <s v="NRC"/>
    <d v="2018-10-31T00:00:00"/>
  </r>
  <r>
    <s v="Rakhine"/>
    <x v="1"/>
    <x v="7"/>
    <s v="MMR012CMP092"/>
    <x v="1"/>
    <x v="1"/>
    <n v="291"/>
    <n v="291"/>
    <s v="NRC"/>
    <d v="2018-10-31T00:00:00"/>
  </r>
  <r>
    <s v="Rakhine"/>
    <x v="1"/>
    <x v="7"/>
    <s v="MMR012CMP092"/>
    <x v="2"/>
    <x v="0"/>
    <n v="268"/>
    <n v="-268"/>
    <s v="NRC"/>
    <d v="2018-10-31T00:00:00"/>
  </r>
  <r>
    <s v="Rakhine"/>
    <x v="1"/>
    <x v="7"/>
    <s v="MMR012CMP092"/>
    <x v="2"/>
    <x v="1"/>
    <n v="264"/>
    <n v="264"/>
    <s v="NRC"/>
    <d v="2018-10-31T00:00:00"/>
  </r>
  <r>
    <s v="Rakhine"/>
    <x v="1"/>
    <x v="7"/>
    <s v="MMR012CMP092"/>
    <x v="3"/>
    <x v="0"/>
    <n v="276"/>
    <n v="-276"/>
    <s v="NRC"/>
    <d v="2018-10-31T00:00:00"/>
  </r>
  <r>
    <s v="Rakhine"/>
    <x v="1"/>
    <x v="7"/>
    <s v="MMR012CMP092"/>
    <x v="3"/>
    <x v="1"/>
    <n v="360"/>
    <n v="360"/>
    <s v="NRC"/>
    <d v="2018-10-31T00:00:00"/>
  </r>
  <r>
    <s v="Rakhine"/>
    <x v="1"/>
    <x v="7"/>
    <s v="MMR012CMP092"/>
    <x v="4"/>
    <x v="0"/>
    <n v="406"/>
    <n v="-406"/>
    <s v="NRC"/>
    <d v="2018-10-31T00:00:00"/>
  </r>
  <r>
    <s v="Rakhine"/>
    <x v="1"/>
    <x v="7"/>
    <s v="MMR012CMP092"/>
    <x v="4"/>
    <x v="1"/>
    <n v="452"/>
    <n v="452"/>
    <s v="NRC"/>
    <d v="2018-10-31T00:00:00"/>
  </r>
  <r>
    <s v="Rakhine"/>
    <x v="1"/>
    <x v="7"/>
    <s v="MMR012CMP092"/>
    <x v="5"/>
    <x v="0"/>
    <n v="63"/>
    <n v="-63"/>
    <s v="NRC"/>
    <d v="2018-10-31T00:00:00"/>
  </r>
  <r>
    <s v="Rakhine"/>
    <x v="1"/>
    <x v="7"/>
    <s v="MMR012CMP092"/>
    <x v="5"/>
    <x v="1"/>
    <n v="75"/>
    <n v="75"/>
    <s v="NRC"/>
    <d v="2018-10-31T00:00:00"/>
  </r>
  <r>
    <s v="Rakhine"/>
    <x v="0"/>
    <x v="8"/>
    <s v="MMR012CMP017"/>
    <x v="0"/>
    <x v="0"/>
    <n v="620"/>
    <n v="-620"/>
    <s v="LWF"/>
    <d v="2018-09-30T00:00:00"/>
  </r>
  <r>
    <s v="Rakhine"/>
    <x v="0"/>
    <x v="8"/>
    <s v="MMR012CMP017"/>
    <x v="0"/>
    <x v="1"/>
    <n v="561"/>
    <n v="561"/>
    <s v="LWF"/>
    <d v="2018-09-30T00:00:00"/>
  </r>
  <r>
    <s v="Rakhine"/>
    <x v="0"/>
    <x v="8"/>
    <s v="MMR012CMP017"/>
    <x v="1"/>
    <x v="0"/>
    <n v="549"/>
    <n v="-549"/>
    <s v="LWF"/>
    <d v="2018-09-30T00:00:00"/>
  </r>
  <r>
    <s v="Rakhine"/>
    <x v="0"/>
    <x v="8"/>
    <s v="MMR012CMP017"/>
    <x v="1"/>
    <x v="1"/>
    <n v="535"/>
    <n v="535"/>
    <s v="LWF"/>
    <d v="2018-09-30T00:00:00"/>
  </r>
  <r>
    <s v="Rakhine"/>
    <x v="0"/>
    <x v="8"/>
    <s v="MMR012CMP017"/>
    <x v="2"/>
    <x v="0"/>
    <n v="297"/>
    <n v="-297"/>
    <s v="LWF"/>
    <d v="2018-09-30T00:00:00"/>
  </r>
  <r>
    <s v="Rakhine"/>
    <x v="0"/>
    <x v="8"/>
    <s v="MMR012CMP017"/>
    <x v="2"/>
    <x v="1"/>
    <n v="238"/>
    <n v="238"/>
    <s v="LWF"/>
    <d v="2018-09-30T00:00:00"/>
  </r>
  <r>
    <s v="Rakhine"/>
    <x v="0"/>
    <x v="8"/>
    <s v="MMR012CMP017"/>
    <x v="3"/>
    <x v="0"/>
    <n v="244"/>
    <n v="-244"/>
    <s v="LWF"/>
    <d v="2018-09-30T00:00:00"/>
  </r>
  <r>
    <s v="Rakhine"/>
    <x v="0"/>
    <x v="8"/>
    <s v="MMR012CMP017"/>
    <x v="3"/>
    <x v="1"/>
    <n v="392"/>
    <n v="392"/>
    <s v="LWF"/>
    <d v="2018-09-30T00:00:00"/>
  </r>
  <r>
    <s v="Rakhine"/>
    <x v="0"/>
    <x v="8"/>
    <s v="MMR012CMP017"/>
    <x v="4"/>
    <x v="0"/>
    <n v="563"/>
    <n v="-563"/>
    <s v="LWF"/>
    <d v="2018-09-30T00:00:00"/>
  </r>
  <r>
    <s v="Rakhine"/>
    <x v="0"/>
    <x v="8"/>
    <s v="MMR012CMP017"/>
    <x v="4"/>
    <x v="1"/>
    <n v="539"/>
    <n v="539"/>
    <s v="LWF"/>
    <d v="2018-09-30T00:00:00"/>
  </r>
  <r>
    <s v="Rakhine"/>
    <x v="0"/>
    <x v="8"/>
    <s v="MMR012CMP017"/>
    <x v="5"/>
    <x v="0"/>
    <n v="67"/>
    <n v="-67"/>
    <s v="LWF"/>
    <d v="2018-09-30T00:00:00"/>
  </r>
  <r>
    <s v="Rakhine"/>
    <x v="0"/>
    <x v="8"/>
    <s v="MMR012CMP017"/>
    <x v="5"/>
    <x v="1"/>
    <n v="60"/>
    <n v="60"/>
    <s v="LWF"/>
    <d v="2018-09-30T00:00:00"/>
  </r>
  <r>
    <s v="Rakhine"/>
    <x v="0"/>
    <x v="9"/>
    <s v="MMR012CMP017"/>
    <x v="0"/>
    <x v="0"/>
    <n v="608"/>
    <n v="-608"/>
    <s v="LWF"/>
    <d v="2018-09-30T00:00:00"/>
  </r>
  <r>
    <s v="Rakhine"/>
    <x v="0"/>
    <x v="9"/>
    <s v="MMR012CMP017"/>
    <x v="0"/>
    <x v="1"/>
    <n v="617"/>
    <n v="617"/>
    <s v="LWF"/>
    <d v="2018-09-30T00:00:00"/>
  </r>
  <r>
    <s v="Rakhine"/>
    <x v="0"/>
    <x v="9"/>
    <s v="MMR012CMP017"/>
    <x v="1"/>
    <x v="0"/>
    <n v="377"/>
    <n v="-377"/>
    <s v="LWF"/>
    <d v="2018-09-30T00:00:00"/>
  </r>
  <r>
    <s v="Rakhine"/>
    <x v="0"/>
    <x v="9"/>
    <s v="MMR012CMP017"/>
    <x v="1"/>
    <x v="1"/>
    <n v="334"/>
    <n v="334"/>
    <s v="LWF"/>
    <d v="2018-09-30T00:00:00"/>
  </r>
  <r>
    <s v="Rakhine"/>
    <x v="0"/>
    <x v="9"/>
    <s v="MMR012CMP017"/>
    <x v="2"/>
    <x v="0"/>
    <n v="222"/>
    <n v="-222"/>
    <s v="LWF"/>
    <d v="2018-09-30T00:00:00"/>
  </r>
  <r>
    <s v="Rakhine"/>
    <x v="0"/>
    <x v="9"/>
    <s v="MMR012CMP017"/>
    <x v="2"/>
    <x v="1"/>
    <n v="220"/>
    <n v="220"/>
    <s v="LWF"/>
    <d v="2018-09-30T00:00:00"/>
  </r>
  <r>
    <s v="Rakhine"/>
    <x v="0"/>
    <x v="9"/>
    <s v="MMR012CMP017"/>
    <x v="3"/>
    <x v="0"/>
    <n v="336"/>
    <n v="-336"/>
    <s v="LWF"/>
    <d v="2018-09-30T00:00:00"/>
  </r>
  <r>
    <s v="Rakhine"/>
    <x v="0"/>
    <x v="9"/>
    <s v="MMR012CMP017"/>
    <x v="3"/>
    <x v="1"/>
    <n v="476"/>
    <n v="476"/>
    <s v="LWF"/>
    <d v="2018-09-30T00:00:00"/>
  </r>
  <r>
    <s v="Rakhine"/>
    <x v="0"/>
    <x v="9"/>
    <s v="MMR012CMP017"/>
    <x v="4"/>
    <x v="0"/>
    <n v="426"/>
    <n v="-426"/>
    <s v="LWF"/>
    <d v="2018-09-30T00:00:00"/>
  </r>
  <r>
    <s v="Rakhine"/>
    <x v="0"/>
    <x v="9"/>
    <s v="MMR012CMP017"/>
    <x v="4"/>
    <x v="1"/>
    <n v="348"/>
    <n v="348"/>
    <s v="LWF"/>
    <d v="2018-09-30T00:00:00"/>
  </r>
  <r>
    <s v="Rakhine"/>
    <x v="0"/>
    <x v="9"/>
    <s v="MMR012CMP017"/>
    <x v="5"/>
    <x v="0"/>
    <n v="88"/>
    <n v="-88"/>
    <s v="LWF"/>
    <d v="2018-09-30T00:00:00"/>
  </r>
  <r>
    <s v="Rakhine"/>
    <x v="0"/>
    <x v="9"/>
    <s v="MMR012CMP017"/>
    <x v="5"/>
    <x v="1"/>
    <n v="66"/>
    <n v="66"/>
    <s v="LWF"/>
    <d v="2018-09-30T00:00:00"/>
  </r>
  <r>
    <s v="Rakhine"/>
    <x v="1"/>
    <x v="10"/>
    <s v="MMR012CMP098"/>
    <x v="0"/>
    <x v="0"/>
    <n v="460"/>
    <n v="-460"/>
    <s v="DRC"/>
    <d v="2018-09-30T00:00:00"/>
  </r>
  <r>
    <s v="Rakhine"/>
    <x v="1"/>
    <x v="10"/>
    <s v="MMR012CMP098"/>
    <x v="0"/>
    <x v="1"/>
    <n v="478"/>
    <n v="478"/>
    <s v="DRC"/>
    <d v="2018-09-30T00:00:00"/>
  </r>
  <r>
    <s v="Rakhine"/>
    <x v="1"/>
    <x v="10"/>
    <s v="MMR012CMP098"/>
    <x v="1"/>
    <x v="0"/>
    <n v="435"/>
    <n v="-435"/>
    <s v="DRC"/>
    <d v="2018-09-30T00:00:00"/>
  </r>
  <r>
    <s v="Rakhine"/>
    <x v="1"/>
    <x v="10"/>
    <s v="MMR012CMP098"/>
    <x v="1"/>
    <x v="1"/>
    <n v="359"/>
    <n v="359"/>
    <s v="DRC"/>
    <d v="2018-09-30T00:00:00"/>
  </r>
  <r>
    <s v="Rakhine"/>
    <x v="1"/>
    <x v="10"/>
    <s v="MMR012CMP098"/>
    <x v="2"/>
    <x v="0"/>
    <n v="355"/>
    <n v="-355"/>
    <s v="DRC"/>
    <d v="2018-09-30T00:00:00"/>
  </r>
  <r>
    <s v="Rakhine"/>
    <x v="1"/>
    <x v="10"/>
    <s v="MMR012CMP098"/>
    <x v="2"/>
    <x v="1"/>
    <n v="282"/>
    <n v="282"/>
    <s v="DRC"/>
    <d v="2018-09-30T00:00:00"/>
  </r>
  <r>
    <s v="Rakhine"/>
    <x v="1"/>
    <x v="10"/>
    <s v="MMR012CMP098"/>
    <x v="3"/>
    <x v="0"/>
    <n v="340"/>
    <n v="-340"/>
    <s v="DRC"/>
    <d v="2018-09-30T00:00:00"/>
  </r>
  <r>
    <s v="Rakhine"/>
    <x v="1"/>
    <x v="10"/>
    <s v="MMR012CMP098"/>
    <x v="3"/>
    <x v="1"/>
    <n v="453"/>
    <n v="453"/>
    <s v="DRC"/>
    <d v="2018-09-30T00:00:00"/>
  </r>
  <r>
    <s v="Rakhine"/>
    <x v="1"/>
    <x v="10"/>
    <s v="MMR012CMP098"/>
    <x v="4"/>
    <x v="0"/>
    <n v="413"/>
    <n v="-413"/>
    <s v="DRC"/>
    <d v="2018-09-30T00:00:00"/>
  </r>
  <r>
    <s v="Rakhine"/>
    <x v="1"/>
    <x v="10"/>
    <s v="MMR012CMP098"/>
    <x v="4"/>
    <x v="1"/>
    <n v="348"/>
    <n v="348"/>
    <s v="DRC"/>
    <d v="2018-09-30T00:00:00"/>
  </r>
  <r>
    <s v="Rakhine"/>
    <x v="1"/>
    <x v="10"/>
    <s v="MMR012CMP098"/>
    <x v="5"/>
    <x v="0"/>
    <n v="45"/>
    <n v="-45"/>
    <s v="DRC"/>
    <d v="2018-09-30T00:00:00"/>
  </r>
  <r>
    <s v="Rakhine"/>
    <x v="1"/>
    <x v="10"/>
    <s v="MMR012CMP098"/>
    <x v="5"/>
    <x v="1"/>
    <n v="39"/>
    <n v="39"/>
    <s v="DRC"/>
    <d v="2018-09-30T00:00:00"/>
  </r>
  <r>
    <s v="Rakhine"/>
    <x v="1"/>
    <x v="11"/>
    <s v="MMR012CMP115"/>
    <x v="0"/>
    <x v="0"/>
    <n v="1563"/>
    <n v="-1563"/>
    <s v="DRC"/>
    <d v="2018-09-30T00:00:00"/>
  </r>
  <r>
    <s v="Rakhine"/>
    <x v="1"/>
    <x v="11"/>
    <s v="MMR012CMP115"/>
    <x v="0"/>
    <x v="1"/>
    <n v="1446"/>
    <n v="1446"/>
    <s v="DRC"/>
    <d v="2018-09-30T00:00:00"/>
  </r>
  <r>
    <s v="Rakhine"/>
    <x v="1"/>
    <x v="11"/>
    <s v="MMR012CMP115"/>
    <x v="1"/>
    <x v="0"/>
    <n v="1417"/>
    <n v="-1417"/>
    <s v="DRC"/>
    <d v="2018-09-30T00:00:00"/>
  </r>
  <r>
    <s v="Rakhine"/>
    <x v="1"/>
    <x v="11"/>
    <s v="MMR012CMP115"/>
    <x v="1"/>
    <x v="1"/>
    <n v="1219"/>
    <n v="1219"/>
    <s v="DRC"/>
    <d v="2018-09-30T00:00:00"/>
  </r>
  <r>
    <s v="Rakhine"/>
    <x v="1"/>
    <x v="11"/>
    <s v="MMR012CMP115"/>
    <x v="2"/>
    <x v="0"/>
    <n v="985"/>
    <n v="-985"/>
    <s v="DRC"/>
    <d v="2018-09-30T00:00:00"/>
  </r>
  <r>
    <s v="Rakhine"/>
    <x v="1"/>
    <x v="11"/>
    <s v="MMR012CMP115"/>
    <x v="2"/>
    <x v="1"/>
    <n v="909"/>
    <n v="909"/>
    <s v="DRC"/>
    <d v="2018-09-30T00:00:00"/>
  </r>
  <r>
    <s v="Rakhine"/>
    <x v="1"/>
    <x v="11"/>
    <s v="MMR012CMP115"/>
    <x v="3"/>
    <x v="0"/>
    <n v="1061"/>
    <n v="-1061"/>
    <s v="DRC"/>
    <d v="2018-09-30T00:00:00"/>
  </r>
  <r>
    <s v="Rakhine"/>
    <x v="1"/>
    <x v="11"/>
    <s v="MMR012CMP115"/>
    <x v="3"/>
    <x v="1"/>
    <n v="1517"/>
    <n v="1517"/>
    <s v="DRC"/>
    <d v="2018-09-30T00:00:00"/>
  </r>
  <r>
    <s v="Rakhine"/>
    <x v="1"/>
    <x v="11"/>
    <s v="MMR012CMP115"/>
    <x v="4"/>
    <x v="0"/>
    <n v="1463"/>
    <n v="-1463"/>
    <s v="DRC"/>
    <d v="2018-09-30T00:00:00"/>
  </r>
  <r>
    <s v="Rakhine"/>
    <x v="1"/>
    <x v="11"/>
    <s v="MMR012CMP115"/>
    <x v="4"/>
    <x v="1"/>
    <n v="1580"/>
    <n v="1580"/>
    <s v="DRC"/>
    <d v="2018-09-30T00:00:00"/>
  </r>
  <r>
    <s v="Rakhine"/>
    <x v="1"/>
    <x v="11"/>
    <s v="MMR012CMP115"/>
    <x v="5"/>
    <x v="0"/>
    <n v="312"/>
    <n v="-312"/>
    <s v="DRC"/>
    <d v="2018-09-30T00:00:00"/>
  </r>
  <r>
    <s v="Rakhine"/>
    <x v="1"/>
    <x v="11"/>
    <s v="MMR012CMP115"/>
    <x v="5"/>
    <x v="1"/>
    <n v="322"/>
    <n v="322"/>
    <s v="DRC"/>
    <d v="2018-09-30T00:00:00"/>
  </r>
  <r>
    <s v="Rakhine"/>
    <x v="1"/>
    <x v="12"/>
    <s v="MMR012CMP116"/>
    <x v="0"/>
    <x v="0"/>
    <n v="1116"/>
    <n v="-1116"/>
    <s v="LWF"/>
    <d v="2018-09-30T00:00:00"/>
  </r>
  <r>
    <s v="Rakhine"/>
    <x v="1"/>
    <x v="12"/>
    <s v="MMR012CMP116"/>
    <x v="0"/>
    <x v="1"/>
    <n v="1041"/>
    <n v="1041"/>
    <s v="LWF"/>
    <d v="2018-09-30T00:00:00"/>
  </r>
  <r>
    <s v="Rakhine"/>
    <x v="1"/>
    <x v="12"/>
    <s v="MMR012CMP116"/>
    <x v="1"/>
    <x v="0"/>
    <n v="1250"/>
    <n v="-1250"/>
    <s v="LWF"/>
    <d v="2018-09-30T00:00:00"/>
  </r>
  <r>
    <s v="Rakhine"/>
    <x v="1"/>
    <x v="12"/>
    <s v="MMR012CMP116"/>
    <x v="1"/>
    <x v="1"/>
    <n v="1062"/>
    <n v="1062"/>
    <s v="LWF"/>
    <d v="2018-09-30T00:00:00"/>
  </r>
  <r>
    <s v="Rakhine"/>
    <x v="1"/>
    <x v="12"/>
    <s v="MMR012CMP116"/>
    <x v="2"/>
    <x v="0"/>
    <n v="899"/>
    <n v="-899"/>
    <s v="LWF"/>
    <d v="2018-09-30T00:00:00"/>
  </r>
  <r>
    <s v="Rakhine"/>
    <x v="1"/>
    <x v="12"/>
    <s v="MMR012CMP116"/>
    <x v="2"/>
    <x v="1"/>
    <n v="853"/>
    <n v="853"/>
    <s v="LWF"/>
    <d v="2018-09-30T00:00:00"/>
  </r>
  <r>
    <s v="Rakhine"/>
    <x v="1"/>
    <x v="12"/>
    <s v="MMR012CMP116"/>
    <x v="3"/>
    <x v="0"/>
    <n v="633"/>
    <n v="-633"/>
    <s v="LWF"/>
    <d v="2018-09-30T00:00:00"/>
  </r>
  <r>
    <s v="Rakhine"/>
    <x v="1"/>
    <x v="12"/>
    <s v="MMR012CMP116"/>
    <x v="3"/>
    <x v="1"/>
    <n v="1023"/>
    <n v="1023"/>
    <s v="LWF"/>
    <d v="2018-09-30T00:00:00"/>
  </r>
  <r>
    <s v="Rakhine"/>
    <x v="1"/>
    <x v="12"/>
    <s v="MMR012CMP116"/>
    <x v="4"/>
    <x v="0"/>
    <n v="1430"/>
    <n v="-1430"/>
    <s v="LWF"/>
    <d v="2018-09-30T00:00:00"/>
  </r>
  <r>
    <s v="Rakhine"/>
    <x v="1"/>
    <x v="12"/>
    <s v="MMR012CMP116"/>
    <x v="4"/>
    <x v="1"/>
    <n v="1724"/>
    <n v="1724"/>
    <s v="LWF"/>
    <d v="2018-09-30T00:00:00"/>
  </r>
  <r>
    <s v="Rakhine"/>
    <x v="1"/>
    <x v="12"/>
    <s v="MMR012CMP116"/>
    <x v="5"/>
    <x v="0"/>
    <n v="137"/>
    <n v="-137"/>
    <s v="LWF"/>
    <d v="2018-09-30T00:00:00"/>
  </r>
  <r>
    <s v="Rakhine"/>
    <x v="1"/>
    <x v="12"/>
    <s v="MMR012CMP116"/>
    <x v="5"/>
    <x v="1"/>
    <n v="154"/>
    <n v="154"/>
    <s v="LWF"/>
    <d v="2018-09-30T00:00:00"/>
  </r>
  <r>
    <s v="Rakhine"/>
    <x v="1"/>
    <x v="13"/>
    <s v="MMR012CMP045"/>
    <x v="0"/>
    <x v="0"/>
    <n v="1370"/>
    <n v="-1370"/>
    <s v="DRC"/>
    <d v="2018-10-31T00:00:00"/>
  </r>
  <r>
    <s v="Rakhine"/>
    <x v="1"/>
    <x v="13"/>
    <s v="MMR012CMP045"/>
    <x v="0"/>
    <x v="1"/>
    <n v="1322"/>
    <n v="1322"/>
    <s v="DRC"/>
    <d v="2018-10-31T00:00:00"/>
  </r>
  <r>
    <s v="Rakhine"/>
    <x v="1"/>
    <x v="13"/>
    <s v="MMR012CMP045"/>
    <x v="1"/>
    <x v="0"/>
    <n v="1422"/>
    <n v="-1422"/>
    <s v="DRC"/>
    <d v="2018-10-31T00:00:00"/>
  </r>
  <r>
    <s v="Rakhine"/>
    <x v="1"/>
    <x v="13"/>
    <s v="MMR012CMP045"/>
    <x v="1"/>
    <x v="1"/>
    <n v="1293"/>
    <n v="1293"/>
    <s v="DRC"/>
    <d v="2018-10-31T00:00:00"/>
  </r>
  <r>
    <s v="Rakhine"/>
    <x v="1"/>
    <x v="13"/>
    <s v="MMR012CMP045"/>
    <x v="2"/>
    <x v="0"/>
    <n v="1105"/>
    <n v="-1105"/>
    <s v="DRC"/>
    <d v="2018-10-31T00:00:00"/>
  </r>
  <r>
    <s v="Rakhine"/>
    <x v="1"/>
    <x v="13"/>
    <s v="MMR012CMP045"/>
    <x v="2"/>
    <x v="1"/>
    <n v="1051"/>
    <n v="1051"/>
    <s v="DRC"/>
    <d v="2018-10-31T00:00:00"/>
  </r>
  <r>
    <s v="Rakhine"/>
    <x v="1"/>
    <x v="13"/>
    <s v="MMR012CMP045"/>
    <x v="3"/>
    <x v="0"/>
    <n v="1054"/>
    <n v="-1054"/>
    <s v="DRC"/>
    <d v="2018-10-31T00:00:00"/>
  </r>
  <r>
    <s v="Rakhine"/>
    <x v="1"/>
    <x v="13"/>
    <s v="MMR012CMP045"/>
    <x v="3"/>
    <x v="1"/>
    <n v="1346"/>
    <n v="1346"/>
    <s v="DRC"/>
    <d v="2018-10-31T00:00:00"/>
  </r>
  <r>
    <s v="Rakhine"/>
    <x v="1"/>
    <x v="13"/>
    <s v="MMR012CMP045"/>
    <x v="4"/>
    <x v="0"/>
    <n v="1546"/>
    <n v="-1546"/>
    <s v="DRC"/>
    <d v="2018-10-31T00:00:00"/>
  </r>
  <r>
    <s v="Rakhine"/>
    <x v="1"/>
    <x v="13"/>
    <s v="MMR012CMP045"/>
    <x v="4"/>
    <x v="1"/>
    <n v="1716"/>
    <n v="1716"/>
    <s v="DRC"/>
    <d v="2018-10-31T00:00:00"/>
  </r>
  <r>
    <s v="Rakhine"/>
    <x v="1"/>
    <x v="13"/>
    <s v="MMR012CMP045"/>
    <x v="5"/>
    <x v="0"/>
    <n v="241"/>
    <n v="-241"/>
    <s v="DRC"/>
    <d v="2018-10-31T00:00:00"/>
  </r>
  <r>
    <s v="Rakhine"/>
    <x v="1"/>
    <x v="13"/>
    <s v="MMR012CMP045"/>
    <x v="5"/>
    <x v="1"/>
    <n v="245"/>
    <n v="245"/>
    <s v="DRC"/>
    <d v="2018-10-31T00:00:00"/>
  </r>
  <r>
    <s v="Rakhine"/>
    <x v="0"/>
    <x v="14"/>
    <s v="MMR012CMP019"/>
    <x v="0"/>
    <x v="0"/>
    <n v="220"/>
    <n v="-220"/>
    <s v="DRC"/>
    <d v="2018-09-30T00:00:00"/>
  </r>
  <r>
    <s v="Rakhine"/>
    <x v="0"/>
    <x v="14"/>
    <s v="MMR012CMP019"/>
    <x v="0"/>
    <x v="1"/>
    <n v="191"/>
    <n v="191"/>
    <s v="DRC"/>
    <d v="2018-09-30T00:00:00"/>
  </r>
  <r>
    <s v="Rakhine"/>
    <x v="0"/>
    <x v="14"/>
    <s v="MMR012CMP019"/>
    <x v="1"/>
    <x v="0"/>
    <n v="194"/>
    <n v="-194"/>
    <s v="DRC"/>
    <d v="2018-09-30T00:00:00"/>
  </r>
  <r>
    <s v="Rakhine"/>
    <x v="0"/>
    <x v="14"/>
    <s v="MMR012CMP019"/>
    <x v="1"/>
    <x v="1"/>
    <n v="169"/>
    <n v="169"/>
    <s v="DRC"/>
    <d v="2018-09-30T00:00:00"/>
  </r>
  <r>
    <s v="Rakhine"/>
    <x v="0"/>
    <x v="14"/>
    <s v="MMR012CMP019"/>
    <x v="2"/>
    <x v="0"/>
    <n v="217"/>
    <n v="-217"/>
    <s v="DRC"/>
    <d v="2018-09-30T00:00:00"/>
  </r>
  <r>
    <s v="Rakhine"/>
    <x v="0"/>
    <x v="14"/>
    <s v="MMR012CMP019"/>
    <x v="2"/>
    <x v="1"/>
    <n v="196"/>
    <n v="196"/>
    <s v="DRC"/>
    <d v="2018-09-30T00:00:00"/>
  </r>
  <r>
    <s v="Rakhine"/>
    <x v="0"/>
    <x v="14"/>
    <s v="MMR012CMP019"/>
    <x v="3"/>
    <x v="0"/>
    <n v="304"/>
    <n v="-304"/>
    <s v="DRC"/>
    <d v="2018-09-30T00:00:00"/>
  </r>
  <r>
    <s v="Rakhine"/>
    <x v="0"/>
    <x v="14"/>
    <s v="MMR012CMP019"/>
    <x v="3"/>
    <x v="1"/>
    <n v="325"/>
    <n v="325"/>
    <s v="DRC"/>
    <d v="2018-09-30T00:00:00"/>
  </r>
  <r>
    <s v="Rakhine"/>
    <x v="0"/>
    <x v="14"/>
    <s v="MMR012CMP019"/>
    <x v="4"/>
    <x v="0"/>
    <n v="409"/>
    <n v="-409"/>
    <s v="DRC"/>
    <d v="2018-09-30T00:00:00"/>
  </r>
  <r>
    <s v="Rakhine"/>
    <x v="0"/>
    <x v="14"/>
    <s v="MMR012CMP019"/>
    <x v="4"/>
    <x v="1"/>
    <n v="443"/>
    <n v="443"/>
    <s v="DRC"/>
    <d v="2018-09-30T00:00:00"/>
  </r>
  <r>
    <s v="Rakhine"/>
    <x v="0"/>
    <x v="14"/>
    <s v="MMR012CMP019"/>
    <x v="5"/>
    <x v="0"/>
    <n v="88"/>
    <n v="-88"/>
    <s v="DRC"/>
    <d v="2018-09-30T00:00:00"/>
  </r>
  <r>
    <s v="Rakhine"/>
    <x v="0"/>
    <x v="14"/>
    <s v="MMR012CMP019"/>
    <x v="5"/>
    <x v="1"/>
    <n v="89"/>
    <n v="89"/>
    <s v="DRC"/>
    <d v="2018-09-30T00:00:00"/>
  </r>
  <r>
    <s v="Rakhine"/>
    <x v="2"/>
    <x v="15"/>
    <s v="MMR012CMP014"/>
    <x v="0"/>
    <x v="0"/>
    <n v="194"/>
    <n v="-194"/>
    <s v="RI"/>
    <d v="2018-09-30T00:00:00"/>
  </r>
  <r>
    <s v="Rakhine"/>
    <x v="2"/>
    <x v="15"/>
    <s v="MMR012CMP014"/>
    <x v="0"/>
    <x v="1"/>
    <n v="187"/>
    <n v="187"/>
    <s v="RI"/>
    <d v="2018-09-30T00:00:00"/>
  </r>
  <r>
    <s v="Rakhine"/>
    <x v="2"/>
    <x v="15"/>
    <s v="MMR012CMP014"/>
    <x v="1"/>
    <x v="0"/>
    <n v="262"/>
    <n v="-262"/>
    <s v="RI"/>
    <d v="2018-09-30T00:00:00"/>
  </r>
  <r>
    <s v="Rakhine"/>
    <x v="2"/>
    <x v="15"/>
    <s v="MMR012CMP014"/>
    <x v="1"/>
    <x v="1"/>
    <n v="221"/>
    <n v="221"/>
    <s v="RI"/>
    <d v="2018-09-30T00:00:00"/>
  </r>
  <r>
    <s v="Rakhine"/>
    <x v="2"/>
    <x v="15"/>
    <s v="MMR012CMP014"/>
    <x v="2"/>
    <x v="0"/>
    <n v="226"/>
    <n v="-226"/>
    <s v="RI"/>
    <d v="2018-09-30T00:00:00"/>
  </r>
  <r>
    <s v="Rakhine"/>
    <x v="2"/>
    <x v="15"/>
    <s v="MMR012CMP014"/>
    <x v="2"/>
    <x v="1"/>
    <n v="244"/>
    <n v="244"/>
    <s v="RI"/>
    <d v="2018-09-30T00:00:00"/>
  </r>
  <r>
    <s v="Rakhine"/>
    <x v="2"/>
    <x v="15"/>
    <s v="MMR012CMP014"/>
    <x v="3"/>
    <x v="0"/>
    <n v="188"/>
    <n v="-188"/>
    <s v="RI"/>
    <d v="2018-09-30T00:00:00"/>
  </r>
  <r>
    <s v="Rakhine"/>
    <x v="2"/>
    <x v="15"/>
    <s v="MMR012CMP014"/>
    <x v="3"/>
    <x v="1"/>
    <n v="225"/>
    <n v="225"/>
    <s v="RI"/>
    <d v="2018-09-30T00:00:00"/>
  </r>
  <r>
    <s v="Rakhine"/>
    <x v="2"/>
    <x v="15"/>
    <s v="MMR012CMP014"/>
    <x v="4"/>
    <x v="0"/>
    <n v="350"/>
    <n v="-350"/>
    <s v="RI"/>
    <d v="2018-09-30T00:00:00"/>
  </r>
  <r>
    <s v="Rakhine"/>
    <x v="2"/>
    <x v="15"/>
    <s v="MMR012CMP014"/>
    <x v="4"/>
    <x v="1"/>
    <n v="438"/>
    <n v="438"/>
    <s v="RI"/>
    <d v="2018-09-30T00:00:00"/>
  </r>
  <r>
    <s v="Rakhine"/>
    <x v="2"/>
    <x v="15"/>
    <s v="MMR012CMP014"/>
    <x v="5"/>
    <x v="0"/>
    <n v="74"/>
    <n v="-74"/>
    <s v="RI"/>
    <d v="2018-09-30T00:00:00"/>
  </r>
  <r>
    <s v="Rakhine"/>
    <x v="2"/>
    <x v="15"/>
    <s v="MMR012CMP014"/>
    <x v="5"/>
    <x v="1"/>
    <n v="81"/>
    <n v="81"/>
    <s v="RI"/>
    <d v="2018-09-30T00:00:00"/>
  </r>
  <r>
    <s v="Rakhine"/>
    <x v="1"/>
    <x v="16"/>
    <s v="MMR012CMP046"/>
    <x v="0"/>
    <x v="0"/>
    <n v="1003"/>
    <n v="-1003"/>
    <s v="LWF"/>
    <d v="2018-09-30T00:00:00"/>
  </r>
  <r>
    <s v="Rakhine"/>
    <x v="1"/>
    <x v="16"/>
    <s v="MMR012CMP046"/>
    <x v="0"/>
    <x v="1"/>
    <n v="1106"/>
    <n v="1106"/>
    <s v="LWF"/>
    <d v="2018-09-30T00:00:00"/>
  </r>
  <r>
    <s v="Rakhine"/>
    <x v="1"/>
    <x v="16"/>
    <s v="MMR012CMP046"/>
    <x v="1"/>
    <x v="0"/>
    <n v="1070"/>
    <n v="-1070"/>
    <s v="LWF"/>
    <d v="2018-09-30T00:00:00"/>
  </r>
  <r>
    <s v="Rakhine"/>
    <x v="1"/>
    <x v="16"/>
    <s v="MMR012CMP046"/>
    <x v="1"/>
    <x v="1"/>
    <n v="1104"/>
    <n v="1104"/>
    <s v="LWF"/>
    <d v="2018-09-30T00:00:00"/>
  </r>
  <r>
    <s v="Rakhine"/>
    <x v="1"/>
    <x v="16"/>
    <s v="MMR012CMP046"/>
    <x v="2"/>
    <x v="0"/>
    <n v="1043"/>
    <n v="-1043"/>
    <s v="LWF"/>
    <d v="2018-09-30T00:00:00"/>
  </r>
  <r>
    <s v="Rakhine"/>
    <x v="1"/>
    <x v="16"/>
    <s v="MMR012CMP046"/>
    <x v="2"/>
    <x v="1"/>
    <n v="1024"/>
    <n v="1024"/>
    <s v="LWF"/>
    <d v="2018-09-30T00:00:00"/>
  </r>
  <r>
    <s v="Rakhine"/>
    <x v="1"/>
    <x v="16"/>
    <s v="MMR012CMP046"/>
    <x v="3"/>
    <x v="0"/>
    <n v="1111"/>
    <n v="-1111"/>
    <s v="LWF"/>
    <d v="2018-09-30T00:00:00"/>
  </r>
  <r>
    <s v="Rakhine"/>
    <x v="1"/>
    <x v="16"/>
    <s v="MMR012CMP046"/>
    <x v="3"/>
    <x v="1"/>
    <n v="1236"/>
    <n v="1236"/>
    <s v="LWF"/>
    <d v="2018-09-30T00:00:00"/>
  </r>
  <r>
    <s v="Rakhine"/>
    <x v="1"/>
    <x v="16"/>
    <s v="MMR012CMP046"/>
    <x v="4"/>
    <x v="0"/>
    <n v="1882"/>
    <n v="-1882"/>
    <s v="LWF"/>
    <d v="2018-09-30T00:00:00"/>
  </r>
  <r>
    <s v="Rakhine"/>
    <x v="1"/>
    <x v="16"/>
    <s v="MMR012CMP046"/>
    <x v="4"/>
    <x v="1"/>
    <n v="1975"/>
    <n v="1975"/>
    <s v="LWF"/>
    <d v="2018-09-30T00:00:00"/>
  </r>
  <r>
    <s v="Rakhine"/>
    <x v="1"/>
    <x v="16"/>
    <s v="MMR012CMP046"/>
    <x v="5"/>
    <x v="0"/>
    <n v="258"/>
    <n v="-258"/>
    <s v="LWF"/>
    <d v="2018-09-30T00:00:00"/>
  </r>
  <r>
    <s v="Rakhine"/>
    <x v="1"/>
    <x v="16"/>
    <s v="MMR012CMP046"/>
    <x v="5"/>
    <x v="1"/>
    <n v="260"/>
    <n v="260"/>
    <s v="LWF"/>
    <d v="2018-09-30T00:00:00"/>
  </r>
  <r>
    <s v="Rakhine"/>
    <x v="1"/>
    <x v="17"/>
    <s v="MMR012CMP048"/>
    <x v="0"/>
    <x v="0"/>
    <n v="544"/>
    <n v="-544"/>
    <s v="NRC"/>
    <d v="2018-10-31T00:00:00"/>
  </r>
  <r>
    <s v="Rakhine"/>
    <x v="1"/>
    <x v="17"/>
    <s v="MMR012CMP048"/>
    <x v="0"/>
    <x v="1"/>
    <n v="623"/>
    <n v="623"/>
    <s v="NRC"/>
    <d v="2018-10-31T00:00:00"/>
  </r>
  <r>
    <s v="Rakhine"/>
    <x v="1"/>
    <x v="17"/>
    <s v="MMR012CMP048"/>
    <x v="1"/>
    <x v="0"/>
    <n v="569"/>
    <n v="-569"/>
    <s v="NRC"/>
    <d v="2018-10-31T00:00:00"/>
  </r>
  <r>
    <s v="Rakhine"/>
    <x v="1"/>
    <x v="17"/>
    <s v="MMR012CMP048"/>
    <x v="1"/>
    <x v="1"/>
    <n v="497"/>
    <n v="497"/>
    <s v="NRC"/>
    <d v="2018-10-31T00:00:00"/>
  </r>
  <r>
    <s v="Rakhine"/>
    <x v="1"/>
    <x v="17"/>
    <s v="MMR012CMP048"/>
    <x v="2"/>
    <x v="0"/>
    <n v="459"/>
    <n v="-459"/>
    <s v="NRC"/>
    <d v="2018-10-31T00:00:00"/>
  </r>
  <r>
    <s v="Rakhine"/>
    <x v="1"/>
    <x v="17"/>
    <s v="MMR012CMP048"/>
    <x v="2"/>
    <x v="1"/>
    <n v="451"/>
    <n v="451"/>
    <s v="NRC"/>
    <d v="2018-10-31T00:00:00"/>
  </r>
  <r>
    <s v="Rakhine"/>
    <x v="1"/>
    <x v="17"/>
    <s v="MMR012CMP048"/>
    <x v="3"/>
    <x v="0"/>
    <n v="469"/>
    <n v="-469"/>
    <s v="NRC"/>
    <d v="2018-10-31T00:00:00"/>
  </r>
  <r>
    <s v="Rakhine"/>
    <x v="1"/>
    <x v="17"/>
    <s v="MMR012CMP048"/>
    <x v="3"/>
    <x v="1"/>
    <n v="614"/>
    <n v="614"/>
    <s v="NRC"/>
    <d v="2018-10-31T00:00:00"/>
  </r>
  <r>
    <s v="Rakhine"/>
    <x v="1"/>
    <x v="17"/>
    <s v="MMR012CMP048"/>
    <x v="4"/>
    <x v="0"/>
    <n v="692"/>
    <n v="-692"/>
    <s v="NRC"/>
    <d v="2018-10-31T00:00:00"/>
  </r>
  <r>
    <s v="Rakhine"/>
    <x v="1"/>
    <x v="17"/>
    <s v="MMR012CMP048"/>
    <x v="4"/>
    <x v="1"/>
    <n v="771"/>
    <n v="771"/>
    <s v="NRC"/>
    <d v="2018-10-31T00:00:00"/>
  </r>
  <r>
    <s v="Rakhine"/>
    <x v="1"/>
    <x v="17"/>
    <s v="MMR012CMP048"/>
    <x v="5"/>
    <x v="0"/>
    <n v="111"/>
    <n v="-111"/>
    <s v="NRC"/>
    <d v="2018-10-31T00:00:00"/>
  </r>
  <r>
    <s v="Rakhine"/>
    <x v="1"/>
    <x v="17"/>
    <s v="MMR012CMP048"/>
    <x v="5"/>
    <x v="1"/>
    <n v="126"/>
    <n v="126"/>
    <s v="NRC"/>
    <d v="2018-10-31T00:00:00"/>
  </r>
  <r>
    <s v="Rakhine"/>
    <x v="1"/>
    <x v="18"/>
    <s v="MMR012CMP039"/>
    <x v="0"/>
    <x v="0"/>
    <n v="254"/>
    <n v="-254"/>
    <s v="LWF"/>
    <d v="2018-09-30T00:00:00"/>
  </r>
  <r>
    <s v="Rakhine"/>
    <x v="1"/>
    <x v="18"/>
    <s v="MMR012CMP039"/>
    <x v="0"/>
    <x v="1"/>
    <n v="215"/>
    <n v="215"/>
    <s v="LWF"/>
    <d v="2018-09-30T00:00:00"/>
  </r>
  <r>
    <s v="Rakhine"/>
    <x v="1"/>
    <x v="18"/>
    <s v="MMR012CMP039"/>
    <x v="1"/>
    <x v="0"/>
    <n v="196"/>
    <n v="-196"/>
    <s v="LWF"/>
    <d v="2018-09-30T00:00:00"/>
  </r>
  <r>
    <s v="Rakhine"/>
    <x v="1"/>
    <x v="18"/>
    <s v="MMR012CMP039"/>
    <x v="1"/>
    <x v="1"/>
    <n v="184"/>
    <n v="184"/>
    <s v="LWF"/>
    <d v="2018-09-30T00:00:00"/>
  </r>
  <r>
    <s v="Rakhine"/>
    <x v="1"/>
    <x v="18"/>
    <s v="MMR012CMP039"/>
    <x v="2"/>
    <x v="0"/>
    <n v="141"/>
    <n v="-141"/>
    <s v="LWF"/>
    <d v="2018-09-30T00:00:00"/>
  </r>
  <r>
    <s v="Rakhine"/>
    <x v="1"/>
    <x v="18"/>
    <s v="MMR012CMP039"/>
    <x v="2"/>
    <x v="1"/>
    <n v="132"/>
    <n v="132"/>
    <s v="LWF"/>
    <d v="2018-09-30T00:00:00"/>
  </r>
  <r>
    <s v="Rakhine"/>
    <x v="1"/>
    <x v="18"/>
    <s v="MMR012CMP039"/>
    <x v="3"/>
    <x v="0"/>
    <n v="142"/>
    <n v="-142"/>
    <s v="LWF"/>
    <d v="2018-09-30T00:00:00"/>
  </r>
  <r>
    <s v="Rakhine"/>
    <x v="1"/>
    <x v="18"/>
    <s v="MMR012CMP039"/>
    <x v="3"/>
    <x v="1"/>
    <n v="213"/>
    <n v="213"/>
    <s v="LWF"/>
    <d v="2018-09-30T00:00:00"/>
  </r>
  <r>
    <s v="Rakhine"/>
    <x v="1"/>
    <x v="18"/>
    <s v="MMR012CMP039"/>
    <x v="4"/>
    <x v="0"/>
    <n v="333"/>
    <n v="-333"/>
    <s v="LWF"/>
    <d v="2018-09-30T00:00:00"/>
  </r>
  <r>
    <s v="Rakhine"/>
    <x v="1"/>
    <x v="18"/>
    <s v="MMR012CMP039"/>
    <x v="4"/>
    <x v="1"/>
    <n v="349"/>
    <n v="349"/>
    <s v="LWF"/>
    <d v="2018-09-30T00:00:00"/>
  </r>
  <r>
    <s v="Rakhine"/>
    <x v="1"/>
    <x v="18"/>
    <s v="MMR012CMP039"/>
    <x v="5"/>
    <x v="0"/>
    <n v="49"/>
    <n v="-49"/>
    <s v="LWF"/>
    <d v="2018-09-30T00:00:00"/>
  </r>
  <r>
    <s v="Rakhine"/>
    <x v="1"/>
    <x v="18"/>
    <s v="MMR012CMP039"/>
    <x v="5"/>
    <x v="1"/>
    <n v="59"/>
    <n v="59"/>
    <s v="LWF"/>
    <d v="2018-09-30T00:00:00"/>
  </r>
</pivotCacheRecords>
</file>

<file path=xl/pivotCache/pivotCacheRecords4.xml><?xml version="1.0" encoding="utf-8"?>
<pivotCacheRecords xmlns="http://schemas.openxmlformats.org/spreadsheetml/2006/main" xmlns:r="http://schemas.openxmlformats.org/officeDocument/2006/relationships" count="90">
  <r>
    <d v="2018-08-01T00:00:00"/>
    <x v="0"/>
    <s v="Government"/>
    <x v="0"/>
    <x v="0"/>
    <s v="Taung Paw "/>
    <n v="1"/>
    <m/>
    <m/>
    <m/>
    <m/>
    <m/>
    <m/>
    <m/>
    <m/>
    <m/>
    <m/>
    <n v="16"/>
    <m/>
    <n v="16"/>
    <n v="16"/>
    <s v="MMR012CMP014"/>
    <x v="0"/>
    <n v="2.4427480916030534E-2"/>
    <n v="0"/>
    <n v="16"/>
    <m/>
  </r>
  <r>
    <d v="2018-05-25T00:00:00"/>
    <x v="0"/>
    <s v="Government"/>
    <x v="0"/>
    <x v="0"/>
    <s v="Taung Paw "/>
    <n v="1"/>
    <m/>
    <m/>
    <m/>
    <m/>
    <m/>
    <m/>
    <m/>
    <m/>
    <m/>
    <n v="116"/>
    <n v="100"/>
    <m/>
    <n v="100"/>
    <n v="100"/>
    <s v="MMR012CMP014"/>
    <x v="0"/>
    <n v="0.15267175572519084"/>
    <n v="116"/>
    <n v="100"/>
    <m/>
  </r>
  <r>
    <d v="2017-09-12T00:00:00"/>
    <x v="1"/>
    <s v="Self Constructed"/>
    <x v="0"/>
    <x v="1"/>
    <s v="Thae Chaung"/>
    <n v="1"/>
    <m/>
    <m/>
    <m/>
    <m/>
    <m/>
    <m/>
    <m/>
    <m/>
    <n v="2376"/>
    <m/>
    <m/>
    <m/>
    <n v="2376"/>
    <n v="2376"/>
    <s v="MMR012CMP046"/>
    <x v="0"/>
    <n v="1.045774647887324"/>
    <n v="0"/>
    <n v="0"/>
    <m/>
  </r>
  <r>
    <d v="2017-09-12T00:00:00"/>
    <x v="1"/>
    <s v="Self Constructed"/>
    <x v="0"/>
    <x v="1"/>
    <s v="Dar Pai"/>
    <n v="1"/>
    <m/>
    <m/>
    <m/>
    <m/>
    <m/>
    <m/>
    <m/>
    <m/>
    <n v="507"/>
    <m/>
    <m/>
    <m/>
    <n v="507"/>
    <n v="507"/>
    <s v="MMR012CMP041"/>
    <x v="0"/>
    <n v="0.2556732223903177"/>
    <n v="0"/>
    <n v="0"/>
    <m/>
  </r>
  <r>
    <d v="2017-08-01T00:00:00"/>
    <x v="2"/>
    <s v="IRW"/>
    <x v="0"/>
    <x v="1"/>
    <s v="Baw Du Pha 2"/>
    <n v="8"/>
    <m/>
    <m/>
    <n v="10"/>
    <n v="10"/>
    <m/>
    <m/>
    <m/>
    <m/>
    <m/>
    <m/>
    <m/>
    <m/>
    <n v="80"/>
    <n v="80"/>
    <s v="MMR012CMP114"/>
    <x v="0"/>
    <n v="5.9970014992503748E-2"/>
    <n v="0"/>
    <n v="0"/>
    <m/>
  </r>
  <r>
    <d v="2017-07-31T00:00:00"/>
    <x v="0"/>
    <s v="Government"/>
    <x v="0"/>
    <x v="2"/>
    <s v="Kyein Ni Pyin"/>
    <n v="1"/>
    <m/>
    <m/>
    <m/>
    <m/>
    <m/>
    <m/>
    <m/>
    <m/>
    <m/>
    <n v="112"/>
    <n v="112"/>
    <m/>
    <n v="112"/>
    <n v="112"/>
    <s v="MMR012CMP018"/>
    <x v="0"/>
    <n v="8.339538346984364E-2"/>
    <n v="112"/>
    <n v="112"/>
    <m/>
  </r>
  <r>
    <d v="2017-07-31T00:00:00"/>
    <x v="3"/>
    <s v="RSG"/>
    <x v="0"/>
    <x v="2"/>
    <s v="Kyein Ni Pyin"/>
    <n v="1"/>
    <m/>
    <m/>
    <m/>
    <m/>
    <m/>
    <m/>
    <m/>
    <m/>
    <m/>
    <n v="480"/>
    <n v="480"/>
    <m/>
    <n v="480"/>
    <n v="480"/>
    <s v="MMR012CMP018"/>
    <x v="0"/>
    <n v="0.35740878629932987"/>
    <n v="480"/>
    <n v="480"/>
    <m/>
  </r>
  <r>
    <d v="2017-07-31T00:00:00"/>
    <x v="4"/>
    <s v="MRCS-QRC"/>
    <x v="0"/>
    <x v="2"/>
    <s v="Kyein Ni Pyin"/>
    <n v="1"/>
    <m/>
    <m/>
    <m/>
    <m/>
    <m/>
    <m/>
    <m/>
    <m/>
    <m/>
    <n v="56"/>
    <n v="56"/>
    <m/>
    <n v="56"/>
    <n v="56"/>
    <s v="MMR012CMP018"/>
    <x v="0"/>
    <n v="4.169769173492182E-2"/>
    <n v="56"/>
    <n v="56"/>
    <m/>
  </r>
  <r>
    <d v="2017-07-31T00:00:00"/>
    <x v="0"/>
    <s v="Government"/>
    <x v="0"/>
    <x v="1"/>
    <s v="Basare"/>
    <n v="8"/>
    <m/>
    <m/>
    <n v="52"/>
    <n v="52"/>
    <m/>
    <m/>
    <m/>
    <m/>
    <m/>
    <m/>
    <m/>
    <m/>
    <n v="416"/>
    <n v="416"/>
    <s v="MMR012CMP039"/>
    <x v="0"/>
    <n v="1.0505050505050506"/>
    <n v="0"/>
    <n v="0"/>
    <m/>
  </r>
  <r>
    <d v="2017-07-31T00:00:00"/>
    <x v="0"/>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0"/>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1"/>
    <s v="Ohn Taw Chay"/>
    <n v="8"/>
    <m/>
    <m/>
    <n v="80"/>
    <n v="80"/>
    <m/>
    <m/>
    <m/>
    <m/>
    <m/>
    <m/>
    <m/>
    <m/>
    <n v="640"/>
    <n v="640"/>
    <s v="MMR012CMP098"/>
    <x v="0"/>
    <n v="0.87193460490463215"/>
    <n v="0"/>
    <n v="0"/>
    <m/>
  </r>
  <r>
    <d v="2015-07-01T00:00:00"/>
    <x v="0"/>
    <s v="Government"/>
    <x v="0"/>
    <x v="4"/>
    <s v="Khaung Htoke"/>
    <n v="1"/>
    <m/>
    <m/>
    <m/>
    <m/>
    <m/>
    <m/>
    <m/>
    <m/>
    <m/>
    <n v="97"/>
    <n v="97"/>
    <m/>
    <n v="97"/>
    <n v="0"/>
    <s v="MMR012CMP030"/>
    <x v="1"/>
    <n v="1"/>
    <n v="97"/>
    <n v="97"/>
    <m/>
  </r>
  <r>
    <d v="2015-07-01T00:00:00"/>
    <x v="0"/>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0"/>
    <s v="Government"/>
    <x v="0"/>
    <x v="6"/>
    <s v="Thi Kyar"/>
    <n v="1"/>
    <m/>
    <m/>
    <m/>
    <m/>
    <m/>
    <m/>
    <m/>
    <m/>
    <m/>
    <n v="32"/>
    <n v="32"/>
    <m/>
    <n v="32"/>
    <n v="0"/>
    <s v="MMR012CMP117"/>
    <x v="1"/>
    <n v="1"/>
    <n v="32"/>
    <n v="32"/>
    <m/>
  </r>
  <r>
    <d v="2015-07-01T00:00:00"/>
    <x v="0"/>
    <s v="Government"/>
    <x v="0"/>
    <x v="0"/>
    <s v="Kan Thar Htwat Wa"/>
    <n v="1"/>
    <m/>
    <m/>
    <m/>
    <m/>
    <m/>
    <m/>
    <m/>
    <m/>
    <m/>
    <n v="40"/>
    <n v="40"/>
    <m/>
    <n v="40"/>
    <n v="0"/>
    <s v="MMR012CMP013"/>
    <x v="1"/>
    <n v="1"/>
    <n v="40"/>
    <n v="40"/>
    <m/>
  </r>
  <r>
    <d v="2015-07-01T00:00:00"/>
    <x v="6"/>
    <s v="UNHCR"/>
    <x v="0"/>
    <x v="1"/>
    <s v="Sat Roe Kya 1"/>
    <n v="1"/>
    <m/>
    <m/>
    <m/>
    <m/>
    <m/>
    <m/>
    <m/>
    <m/>
    <m/>
    <n v="72"/>
    <n v="72"/>
    <m/>
    <n v="72"/>
    <n v="0"/>
    <s v="MMR012CMP056"/>
    <x v="1"/>
    <n v="0.28915662650602408"/>
    <n v="72"/>
    <n v="72"/>
    <m/>
  </r>
  <r>
    <d v="2015-07-01T00:00:00"/>
    <x v="0"/>
    <s v="Government"/>
    <x v="0"/>
    <x v="4"/>
    <s v="Ah Lel"/>
    <n v="1"/>
    <m/>
    <m/>
    <m/>
    <m/>
    <m/>
    <m/>
    <m/>
    <m/>
    <m/>
    <n v="24"/>
    <n v="24"/>
    <m/>
    <n v="24"/>
    <n v="0"/>
    <s v="MMR012CMP022"/>
    <x v="3"/>
    <n v="1"/>
    <n v="24"/>
    <n v="24"/>
    <m/>
  </r>
  <r>
    <d v="2015-07-01T00:00:00"/>
    <x v="0"/>
    <s v="Government"/>
    <x v="0"/>
    <x v="4"/>
    <s v="Ah Lel Kyun"/>
    <n v="1"/>
    <m/>
    <m/>
    <m/>
    <m/>
    <m/>
    <m/>
    <m/>
    <m/>
    <m/>
    <n v="14"/>
    <n v="14"/>
    <m/>
    <n v="14"/>
    <n v="0"/>
    <s v="MMR012CMP025"/>
    <x v="3"/>
    <n v="1"/>
    <n v="14"/>
    <n v="14"/>
    <m/>
  </r>
  <r>
    <d v="2015-07-01T00:00:00"/>
    <x v="0"/>
    <s v="Government"/>
    <x v="0"/>
    <x v="4"/>
    <s v="Ah Pauk Wa "/>
    <n v="1"/>
    <m/>
    <m/>
    <m/>
    <m/>
    <m/>
    <m/>
    <m/>
    <m/>
    <m/>
    <n v="100"/>
    <n v="100"/>
    <m/>
    <n v="100"/>
    <n v="0"/>
    <s v="MMR012CMP024"/>
    <x v="3"/>
    <n v="1"/>
    <n v="100"/>
    <n v="100"/>
    <m/>
  </r>
  <r>
    <d v="2015-07-01T00:00:00"/>
    <x v="0"/>
    <s v="Government"/>
    <x v="0"/>
    <x v="4"/>
    <s v="Let Saung Kauk"/>
    <n v="1"/>
    <m/>
    <m/>
    <m/>
    <m/>
    <m/>
    <m/>
    <m/>
    <m/>
    <m/>
    <n v="18"/>
    <n v="18"/>
    <m/>
    <n v="18"/>
    <n v="0"/>
    <s v="MMR012CMP020"/>
    <x v="3"/>
    <n v="1"/>
    <n v="18"/>
    <n v="18"/>
    <m/>
  </r>
  <r>
    <d v="2015-07-01T00:00:00"/>
    <x v="0"/>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0"/>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0"/>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0"/>
    <s v="Government"/>
    <x v="0"/>
    <x v="7"/>
    <s v="Ah Nauk Pyin"/>
    <n v="1"/>
    <m/>
    <m/>
    <m/>
    <m/>
    <m/>
    <m/>
    <m/>
    <m/>
    <m/>
    <n v="32"/>
    <n v="32"/>
    <m/>
    <n v="32"/>
    <n v="0"/>
    <s v="MMR012CMP032"/>
    <x v="3"/>
    <n v="1"/>
    <n v="32"/>
    <n v="32"/>
    <m/>
  </r>
  <r>
    <d v="2015-07-01T00:00:00"/>
    <x v="0"/>
    <s v="Government"/>
    <x v="0"/>
    <x v="7"/>
    <s v="Nyaung Pin Gyi"/>
    <n v="1"/>
    <m/>
    <m/>
    <m/>
    <m/>
    <m/>
    <m/>
    <m/>
    <m/>
    <m/>
    <n v="56"/>
    <n v="56"/>
    <m/>
    <n v="56"/>
    <n v="0"/>
    <s v="MMR012CMP031"/>
    <x v="3"/>
    <n v="1"/>
    <n v="56"/>
    <n v="56"/>
    <m/>
  </r>
  <r>
    <d v="2015-07-01T00:00:00"/>
    <x v="0"/>
    <s v="Government"/>
    <x v="0"/>
    <x v="4"/>
    <s v="Goke Pi Htaunt"/>
    <n v="1"/>
    <m/>
    <m/>
    <m/>
    <m/>
    <m/>
    <m/>
    <m/>
    <m/>
    <m/>
    <n v="116"/>
    <n v="116"/>
    <m/>
    <n v="116"/>
    <n v="0"/>
    <s v="MMR012CMP027"/>
    <x v="3"/>
    <n v="1"/>
    <n v="116"/>
    <n v="116"/>
    <m/>
  </r>
  <r>
    <d v="2015-07-01T00:00:00"/>
    <x v="0"/>
    <s v="Government"/>
    <x v="0"/>
    <x v="4"/>
    <s v="In Bar Yi"/>
    <n v="1"/>
    <m/>
    <m/>
    <m/>
    <m/>
    <m/>
    <m/>
    <m/>
    <m/>
    <m/>
    <n v="236"/>
    <n v="236"/>
    <m/>
    <n v="236"/>
    <n v="0"/>
    <s v="MMR012CMP026"/>
    <x v="3"/>
    <n v="1"/>
    <n v="236"/>
    <n v="236"/>
    <m/>
  </r>
  <r>
    <d v="2015-07-01T00:00:00"/>
    <x v="0"/>
    <s v="Government"/>
    <x v="0"/>
    <x v="4"/>
    <s v="Shwe Hlaing"/>
    <n v="1"/>
    <m/>
    <m/>
    <m/>
    <m/>
    <m/>
    <m/>
    <m/>
    <m/>
    <m/>
    <n v="144"/>
    <n v="144"/>
    <m/>
    <n v="144"/>
    <n v="0"/>
    <s v="MMR012CMP029"/>
    <x v="3"/>
    <n v="1"/>
    <n v="144"/>
    <n v="144"/>
    <m/>
  </r>
  <r>
    <d v="2015-07-01T00:00:00"/>
    <x v="0"/>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1"/>
    <s v="Maw Ti Ngar"/>
    <n v="8"/>
    <m/>
    <m/>
    <n v="4"/>
    <n v="4"/>
    <m/>
    <m/>
    <m/>
    <m/>
    <m/>
    <m/>
    <m/>
    <m/>
    <n v="32"/>
    <n v="32"/>
    <s v="MMR012CMP093"/>
    <x v="0"/>
    <n v="5.1446945337620578E-2"/>
    <n v="0"/>
    <n v="0"/>
    <m/>
  </r>
  <r>
    <d v="2015-01-01T00:00:00"/>
    <x v="8"/>
    <s v="DRC"/>
    <x v="0"/>
    <x v="1"/>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489191353082462"/>
    <n v="0"/>
    <n v="0"/>
    <m/>
  </r>
  <r>
    <d v="2013-10-01T00:00:00"/>
    <x v="11"/>
    <s v="CARE"/>
    <x v="0"/>
    <x v="1"/>
    <s v="Baw Du Pha 1"/>
    <n v="8"/>
    <m/>
    <m/>
    <n v="50"/>
    <n v="50"/>
    <m/>
    <m/>
    <m/>
    <m/>
    <m/>
    <m/>
    <m/>
    <m/>
    <n v="400"/>
    <n v="400"/>
    <s v="MMR012CMP113"/>
    <x v="0"/>
    <n v="0.39486673247778875"/>
    <n v="0"/>
    <n v="0"/>
    <m/>
  </r>
  <r>
    <d v="2013-10-01T00:00:00"/>
    <x v="0"/>
    <s v="Government"/>
    <x v="0"/>
    <x v="1"/>
    <s v="Baw Du Pha 1"/>
    <n v="8"/>
    <m/>
    <m/>
    <n v="40"/>
    <n v="40"/>
    <m/>
    <m/>
    <m/>
    <m/>
    <m/>
    <m/>
    <m/>
    <m/>
    <n v="320"/>
    <n v="320"/>
    <s v="MMR012CMP113"/>
    <x v="0"/>
    <n v="0.31589338598223099"/>
    <n v="0"/>
    <n v="0"/>
    <m/>
  </r>
  <r>
    <d v="2013-10-01T00:00:00"/>
    <x v="12"/>
    <s v="ICRC"/>
    <x v="0"/>
    <x v="1"/>
    <s v="Baw Du Pha 1"/>
    <n v="8"/>
    <m/>
    <m/>
    <n v="5"/>
    <n v="5"/>
    <m/>
    <m/>
    <m/>
    <m/>
    <m/>
    <m/>
    <m/>
    <m/>
    <n v="40"/>
    <n v="40"/>
    <s v="MMR012CMP113"/>
    <x v="0"/>
    <n v="3.9486673247778874E-2"/>
    <n v="0"/>
    <n v="0"/>
    <m/>
  </r>
  <r>
    <d v="2013-10-01T00:00:00"/>
    <x v="13"/>
    <s v="MAUK"/>
    <x v="0"/>
    <x v="1"/>
    <s v="Baw Du Pha 1"/>
    <n v="8"/>
    <m/>
    <m/>
    <n v="32"/>
    <n v="32"/>
    <n v="0"/>
    <m/>
    <m/>
    <m/>
    <m/>
    <m/>
    <m/>
    <m/>
    <n v="256"/>
    <n v="256"/>
    <s v="MMR012CMP113"/>
    <x v="0"/>
    <n v="0.25271470878578478"/>
    <n v="0"/>
    <n v="0"/>
    <m/>
  </r>
  <r>
    <d v="2013-10-01T00:00:00"/>
    <x v="0"/>
    <s v="Government"/>
    <x v="0"/>
    <x v="1"/>
    <s v="Baw Du Pha 2"/>
    <n v="8"/>
    <m/>
    <m/>
    <n v="100"/>
    <n v="100"/>
    <n v="0"/>
    <m/>
    <m/>
    <m/>
    <m/>
    <m/>
    <m/>
    <m/>
    <n v="800"/>
    <n v="800"/>
    <s v="MMR012CMP114"/>
    <x v="0"/>
    <n v="0.59970014992503751"/>
    <n v="0"/>
    <n v="0"/>
    <m/>
  </r>
  <r>
    <d v="2013-10-01T00:00:00"/>
    <x v="12"/>
    <s v="ICRC"/>
    <x v="0"/>
    <x v="1"/>
    <s v="Baw Du Pha 2"/>
    <n v="8"/>
    <m/>
    <m/>
    <n v="14"/>
    <n v="14"/>
    <m/>
    <m/>
    <m/>
    <m/>
    <m/>
    <m/>
    <m/>
    <m/>
    <n v="112"/>
    <n v="112"/>
    <s v="MMR012CMP114"/>
    <x v="0"/>
    <n v="8.395802098950525E-2"/>
    <n v="0"/>
    <n v="0"/>
    <m/>
  </r>
  <r>
    <d v="2013-10-01T00:00:00"/>
    <x v="14"/>
    <s v="WFP"/>
    <x v="0"/>
    <x v="1"/>
    <s v="Baw Du Pha 2"/>
    <n v="10"/>
    <m/>
    <m/>
    <n v="40"/>
    <n v="40"/>
    <m/>
    <m/>
    <m/>
    <m/>
    <m/>
    <m/>
    <m/>
    <m/>
    <n v="400"/>
    <n v="400"/>
    <s v="MMR012CMP114"/>
    <x v="0"/>
    <n v="0.29985007496251875"/>
    <n v="0"/>
    <n v="0"/>
    <m/>
  </r>
  <r>
    <d v="2013-10-01T00:00:00"/>
    <x v="11"/>
    <s v="CARE"/>
    <x v="0"/>
    <x v="1"/>
    <s v="Dar Pai"/>
    <n v="8"/>
    <m/>
    <m/>
    <n v="41"/>
    <n v="41"/>
    <m/>
    <m/>
    <m/>
    <m/>
    <m/>
    <m/>
    <m/>
    <m/>
    <n v="328"/>
    <n v="328"/>
    <s v="MMR012CMP041"/>
    <x v="0"/>
    <n v="0.16540595057992941"/>
    <n v="0"/>
    <n v="0"/>
    <m/>
  </r>
  <r>
    <d v="2013-10-01T00:00:00"/>
    <x v="0"/>
    <s v="Government"/>
    <x v="0"/>
    <x v="1"/>
    <s v="Dar Pai"/>
    <n v="8"/>
    <m/>
    <m/>
    <n v="141"/>
    <n v="141"/>
    <m/>
    <m/>
    <m/>
    <m/>
    <m/>
    <m/>
    <m/>
    <m/>
    <n v="1128"/>
    <n v="1128"/>
    <s v="MMR012CMP041"/>
    <x v="0"/>
    <n v="0.56883509833585477"/>
    <n v="0"/>
    <n v="0"/>
    <m/>
  </r>
  <r>
    <d v="2013-10-01T00:00:00"/>
    <x v="11"/>
    <s v="CARE"/>
    <x v="0"/>
    <x v="1"/>
    <s v="Khaung Doke Khar "/>
    <n v="8"/>
    <m/>
    <m/>
    <n v="25"/>
    <n v="25"/>
    <m/>
    <m/>
    <m/>
    <m/>
    <m/>
    <m/>
    <m/>
    <m/>
    <n v="200"/>
    <n v="0"/>
    <s v="MMR012CMP042"/>
    <x v="2"/>
    <s v=""/>
    <n v="0"/>
    <n v="0"/>
    <m/>
  </r>
  <r>
    <d v="2013-10-01T00:00:00"/>
    <x v="0"/>
    <s v="Government"/>
    <x v="0"/>
    <x v="1"/>
    <s v="Khaung Doke Khar "/>
    <n v="8"/>
    <m/>
    <m/>
    <n v="75"/>
    <n v="75"/>
    <m/>
    <m/>
    <m/>
    <m/>
    <m/>
    <m/>
    <m/>
    <m/>
    <n v="600"/>
    <n v="0"/>
    <s v="MMR012CMP042"/>
    <x v="2"/>
    <s v=""/>
    <n v="0"/>
    <n v="0"/>
    <m/>
  </r>
  <r>
    <d v="2013-10-01T00:00:00"/>
    <x v="6"/>
    <s v="UNHCR"/>
    <x v="0"/>
    <x v="2"/>
    <s v="Kyein Ni Pyin"/>
    <n v="8"/>
    <m/>
    <m/>
    <n v="86"/>
    <n v="86"/>
    <m/>
    <m/>
    <m/>
    <m/>
    <m/>
    <m/>
    <m/>
    <m/>
    <n v="688"/>
    <n v="688"/>
    <s v="MMR012CMP018"/>
    <x v="0"/>
    <n v="0.51228592702903941"/>
    <n v="0"/>
    <n v="0"/>
    <m/>
  </r>
  <r>
    <d v="2013-10-01T00:00:00"/>
    <x v="0"/>
    <s v="Government"/>
    <x v="0"/>
    <x v="1"/>
    <s v="Maw Ti Ngar"/>
    <n v="8"/>
    <m/>
    <m/>
    <n v="78"/>
    <n v="78"/>
    <m/>
    <m/>
    <m/>
    <m/>
    <m/>
    <m/>
    <m/>
    <m/>
    <n v="624"/>
    <n v="624"/>
    <s v="MMR012CMP092"/>
    <x v="0"/>
    <n v="1.0032154340836013"/>
    <n v="0"/>
    <n v="0"/>
    <m/>
  </r>
  <r>
    <d v="2013-10-01T00:00:00"/>
    <x v="6"/>
    <s v="UNHCR"/>
    <x v="0"/>
    <x v="2"/>
    <s v="Nget Chaung"/>
    <n v="8"/>
    <m/>
    <m/>
    <n v="169"/>
    <n v="169"/>
    <m/>
    <m/>
    <m/>
    <m/>
    <m/>
    <m/>
    <m/>
    <m/>
    <n v="1352"/>
    <n v="0"/>
    <s v="MMR012CMP017"/>
    <x v="2"/>
    <s v=""/>
    <n v="0"/>
    <n v="0"/>
    <m/>
  </r>
  <r>
    <d v="2013-10-01T00:00:00"/>
    <x v="11"/>
    <s v="CARE"/>
    <x v="0"/>
    <x v="1"/>
    <s v="Ohn Taw Gyi (North)"/>
    <n v="8"/>
    <m/>
    <m/>
    <n v="45"/>
    <n v="45"/>
    <m/>
    <m/>
    <m/>
    <m/>
    <m/>
    <m/>
    <m/>
    <m/>
    <n v="360"/>
    <n v="360"/>
    <s v="MMR012CMP115"/>
    <x v="0"/>
    <n v="0.13493253373313344"/>
    <n v="0"/>
    <n v="0"/>
    <m/>
  </r>
  <r>
    <d v="2013-10-01T00:00:00"/>
    <x v="0"/>
    <s v="Government"/>
    <x v="0"/>
    <x v="1"/>
    <s v="Ohn Taw Gyi (North)"/>
    <n v="8"/>
    <m/>
    <m/>
    <n v="60"/>
    <n v="60"/>
    <m/>
    <m/>
    <m/>
    <m/>
    <m/>
    <m/>
    <m/>
    <m/>
    <n v="480"/>
    <n v="480"/>
    <s v="MMR012CMP115"/>
    <x v="0"/>
    <n v="0.17991004497751126"/>
    <n v="0"/>
    <n v="0"/>
    <m/>
  </r>
  <r>
    <d v="2013-10-01T00:00:00"/>
    <x v="15"/>
    <s v="MRF"/>
    <x v="0"/>
    <x v="1"/>
    <s v="Ohn Taw Gyi (North)"/>
    <n v="8"/>
    <m/>
    <m/>
    <n v="115"/>
    <n v="115"/>
    <m/>
    <m/>
    <m/>
    <m/>
    <m/>
    <m/>
    <m/>
    <m/>
    <n v="920"/>
    <n v="920"/>
    <s v="MMR012CMP115"/>
    <x v="0"/>
    <n v="0.34482758620689657"/>
    <n v="0"/>
    <n v="0"/>
    <m/>
  </r>
  <r>
    <d v="2013-10-01T00:00:00"/>
    <x v="6"/>
    <s v="UNHCR"/>
    <x v="0"/>
    <x v="1"/>
    <s v="Ohn Taw Gyi (North)"/>
    <n v="8"/>
    <m/>
    <m/>
    <n v="115"/>
    <n v="115"/>
    <m/>
    <m/>
    <m/>
    <m/>
    <m/>
    <m/>
    <m/>
    <m/>
    <n v="920"/>
    <n v="920"/>
    <s v="MMR012CMP115"/>
    <x v="0"/>
    <n v="0.34482758620689657"/>
    <n v="0"/>
    <n v="0"/>
    <m/>
  </r>
  <r>
    <d v="2013-10-01T00:00:00"/>
    <x v="0"/>
    <s v="Government"/>
    <x v="0"/>
    <x v="1"/>
    <s v="Ohn Taw Gyi (South)"/>
    <n v="8"/>
    <m/>
    <m/>
    <n v="221"/>
    <n v="221"/>
    <m/>
    <m/>
    <m/>
    <m/>
    <m/>
    <m/>
    <m/>
    <m/>
    <n v="1768"/>
    <n v="1768"/>
    <s v="MMR012CMP116"/>
    <x v="0"/>
    <n v="0.78264718902169106"/>
    <n v="0"/>
    <n v="0"/>
    <m/>
  </r>
  <r>
    <d v="2013-10-01T00:00:00"/>
    <x v="0"/>
    <s v="Government"/>
    <x v="0"/>
    <x v="1"/>
    <s v="Ohn Taw Gyi (South)"/>
    <n v="10"/>
    <m/>
    <m/>
    <n v="20"/>
    <n v="20"/>
    <m/>
    <m/>
    <m/>
    <m/>
    <m/>
    <m/>
    <m/>
    <m/>
    <n v="200"/>
    <n v="200"/>
    <s v="MMR012CMP116"/>
    <x v="0"/>
    <n v="8.8534749889331563E-2"/>
    <n v="0"/>
    <n v="0"/>
    <m/>
  </r>
  <r>
    <d v="2013-10-01T00:00:00"/>
    <x v="6"/>
    <s v="UNHCR"/>
    <x v="0"/>
    <x v="1"/>
    <s v="Ohn Taw Gyi (South)"/>
    <n v="8"/>
    <m/>
    <m/>
    <n v="35"/>
    <n v="35"/>
    <m/>
    <m/>
    <m/>
    <m/>
    <m/>
    <m/>
    <m/>
    <m/>
    <n v="280"/>
    <n v="280"/>
    <s v="MMR012CMP116"/>
    <x v="0"/>
    <n v="0.12394864984506419"/>
    <n v="0"/>
    <n v="0"/>
    <m/>
  </r>
  <r>
    <d v="2013-10-01T00:00:00"/>
    <x v="8"/>
    <s v="DRC"/>
    <x v="0"/>
    <x v="1"/>
    <s v="Say Tha Mar Gyi"/>
    <n v="8"/>
    <m/>
    <m/>
    <n v="27"/>
    <n v="27"/>
    <m/>
    <m/>
    <m/>
    <m/>
    <m/>
    <m/>
    <m/>
    <m/>
    <n v="216"/>
    <n v="216"/>
    <s v="MMR012CMP045"/>
    <x v="0"/>
    <n v="7.9911209766925645E-2"/>
    <n v="0"/>
    <n v="0"/>
    <m/>
  </r>
  <r>
    <d v="2013-10-01T00:00:00"/>
    <x v="0"/>
    <s v="Government"/>
    <x v="0"/>
    <x v="1"/>
    <s v="Say Tha Mar Gyi"/>
    <n v="10"/>
    <m/>
    <m/>
    <n v="63"/>
    <n v="63"/>
    <m/>
    <m/>
    <m/>
    <m/>
    <m/>
    <m/>
    <m/>
    <m/>
    <n v="630"/>
    <n v="630"/>
    <s v="MMR012CMP045"/>
    <x v="0"/>
    <n v="0.23307436182019978"/>
    <n v="0"/>
    <n v="0"/>
    <m/>
  </r>
  <r>
    <d v="2013-10-01T00:00:00"/>
    <x v="2"/>
    <s v="IRW"/>
    <x v="0"/>
    <x v="1"/>
    <s v="Say Tha Mar Gyi"/>
    <n v="8"/>
    <m/>
    <m/>
    <n v="40"/>
    <n v="40"/>
    <m/>
    <m/>
    <m/>
    <m/>
    <m/>
    <m/>
    <m/>
    <m/>
    <n v="320"/>
    <n v="320"/>
    <s v="MMR012CMP045"/>
    <x v="0"/>
    <n v="0.11838697743248243"/>
    <n v="0"/>
    <n v="0"/>
    <m/>
  </r>
  <r>
    <d v="2013-10-01T00:00:00"/>
    <x v="16"/>
    <s v="MRCS"/>
    <x v="0"/>
    <x v="1"/>
    <s v="Say Tha Mar Gyi"/>
    <n v="8"/>
    <m/>
    <m/>
    <n v="60"/>
    <n v="60"/>
    <m/>
    <m/>
    <m/>
    <m/>
    <m/>
    <m/>
    <m/>
    <m/>
    <n v="480"/>
    <n v="480"/>
    <s v="MMR012CMP045"/>
    <x v="0"/>
    <n v="0.17758046614872364"/>
    <n v="0"/>
    <n v="0"/>
    <m/>
  </r>
  <r>
    <d v="2013-10-01T00:00:00"/>
    <x v="15"/>
    <s v="MRF"/>
    <x v="0"/>
    <x v="1"/>
    <s v="Say Tha Mar Gyi"/>
    <n v="10"/>
    <m/>
    <m/>
    <n v="77"/>
    <n v="77"/>
    <m/>
    <m/>
    <m/>
    <m/>
    <m/>
    <m/>
    <m/>
    <m/>
    <n v="770"/>
    <n v="770"/>
    <s v="MMR012CMP045"/>
    <x v="0"/>
    <n v="0.28486866444691084"/>
    <n v="0"/>
    <n v="0"/>
    <m/>
  </r>
  <r>
    <d v="2013-10-01T00:00:00"/>
    <x v="6"/>
    <s v="UNHCR"/>
    <x v="0"/>
    <x v="1"/>
    <s v="Say Tha Mar Gyi"/>
    <n v="8"/>
    <m/>
    <m/>
    <n v="33"/>
    <n v="33"/>
    <m/>
    <m/>
    <m/>
    <m/>
    <m/>
    <m/>
    <m/>
    <m/>
    <n v="264"/>
    <n v="264"/>
    <s v="MMR012CMP045"/>
    <x v="0"/>
    <n v="9.7669256381798006E-2"/>
    <n v="0"/>
    <n v="0"/>
    <m/>
  </r>
  <r>
    <d v="2013-10-01T00:00:00"/>
    <x v="8"/>
    <s v="DRC"/>
    <x v="0"/>
    <x v="2"/>
    <s v="Sin Tet Maw"/>
    <n v="8"/>
    <m/>
    <m/>
    <n v="94"/>
    <n v="94"/>
    <m/>
    <m/>
    <m/>
    <m/>
    <m/>
    <m/>
    <m/>
    <m/>
    <n v="752"/>
    <n v="752"/>
    <s v="MMR012CMP019"/>
    <x v="0"/>
    <n v="1.2188006482982172"/>
    <n v="0"/>
    <n v="0"/>
    <m/>
  </r>
  <r>
    <d v="2013-10-01T00:00:00"/>
    <x v="6"/>
    <s v="UNHCR"/>
    <x v="0"/>
    <x v="0"/>
    <s v="Taung Paw "/>
    <n v="8"/>
    <m/>
    <m/>
    <n v="89"/>
    <n v="89"/>
    <m/>
    <m/>
    <m/>
    <m/>
    <m/>
    <m/>
    <m/>
    <m/>
    <n v="712"/>
    <n v="712"/>
    <s v="MMR012CMP014"/>
    <x v="0"/>
    <n v="1.0870229007633587"/>
    <n v="0"/>
    <n v="0"/>
    <m/>
  </r>
  <r>
    <d v="2013-10-01T00:00:00"/>
    <x v="11"/>
    <s v="CARE"/>
    <x v="0"/>
    <x v="1"/>
    <s v="Thet Kae Pyin "/>
    <n v="8"/>
    <m/>
    <m/>
    <n v="63"/>
    <n v="63"/>
    <n v="0"/>
    <m/>
    <m/>
    <m/>
    <m/>
    <m/>
    <m/>
    <m/>
    <n v="504"/>
    <n v="504"/>
    <s v="MMR012CMP048"/>
    <x v="0"/>
    <n v="0.51376146788990829"/>
    <n v="0"/>
    <n v="0"/>
    <m/>
  </r>
  <r>
    <d v="2013-10-01T00:00:00"/>
    <x v="0"/>
    <s v="Government"/>
    <x v="0"/>
    <x v="1"/>
    <s v="Thet Kae Pyin "/>
    <n v="8"/>
    <m/>
    <m/>
    <n v="60"/>
    <n v="60"/>
    <m/>
    <m/>
    <m/>
    <m/>
    <m/>
    <m/>
    <m/>
    <m/>
    <n v="480"/>
    <n v="480"/>
    <s v="MMR012CMP048"/>
    <x v="0"/>
    <n v="0.4892966360856269"/>
    <n v="0"/>
    <n v="0"/>
    <m/>
  </r>
  <r>
    <d v="2013-10-01T00:00:00"/>
    <x v="15"/>
    <s v="MRF"/>
    <x v="0"/>
    <x v="1"/>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0"/>
    <s v="Government"/>
    <x v="0"/>
    <x v="1"/>
    <s v="Mingan"/>
    <n v="1"/>
    <m/>
    <m/>
    <m/>
    <m/>
    <m/>
    <m/>
    <m/>
    <m/>
    <m/>
    <n v="151"/>
    <n v="151"/>
    <m/>
    <n v="151"/>
    <n v="0"/>
    <s v="MMR012CMP093"/>
    <x v="1"/>
    <n v="1"/>
    <n v="151"/>
    <n v="151"/>
    <m/>
  </r>
  <r>
    <d v="2013-10-01T00:00:00"/>
    <x v="0"/>
    <s v="Government"/>
    <x v="0"/>
    <x v="2"/>
    <s v="Ba Wan Chaung Wa Su"/>
    <n v="1"/>
    <m/>
    <m/>
    <m/>
    <m/>
    <m/>
    <m/>
    <m/>
    <m/>
    <m/>
    <n v="21"/>
    <n v="21"/>
    <m/>
    <n v="21"/>
    <n v="21"/>
    <s v="MMR012CMP015"/>
    <x v="1"/>
    <n v="1"/>
    <n v="21"/>
    <n v="21"/>
    <m/>
  </r>
  <r>
    <d v="2013-10-01T00:00:00"/>
    <x v="0"/>
    <s v="Government"/>
    <x v="0"/>
    <x v="1"/>
    <s v="Sat Roe Kya 1"/>
    <n v="1"/>
    <m/>
    <m/>
    <m/>
    <m/>
    <m/>
    <m/>
    <m/>
    <m/>
    <m/>
    <n v="249"/>
    <n v="249"/>
    <m/>
    <n v="249"/>
    <n v="0"/>
    <s v="MMR012CMP111"/>
    <x v="1"/>
    <n v="1"/>
    <n v="249"/>
    <n v="249"/>
    <m/>
  </r>
  <r>
    <d v="2013-10-01T00:00:00"/>
    <x v="0"/>
    <s v="Government"/>
    <x v="0"/>
    <x v="1"/>
    <s v="Sat Roe Kya 2"/>
    <n v="1"/>
    <m/>
    <m/>
    <m/>
    <m/>
    <m/>
    <m/>
    <m/>
    <m/>
    <m/>
    <n v="420"/>
    <n v="420"/>
    <m/>
    <n v="420"/>
    <n v="0"/>
    <s v="MMR012CMP112"/>
    <x v="1"/>
    <n v="1"/>
    <n v="420"/>
    <n v="420"/>
    <m/>
  </r>
</pivotCacheRecords>
</file>

<file path=xl/pivotCache/pivotCacheRecords5.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
    <x v="2"/>
    <m/>
    <n v="1"/>
    <x v="0"/>
    <m/>
  </r>
  <r>
    <s v="LOT 5 - Thazin Gone Young"/>
    <s v="Rakhine"/>
    <s v="Sittwe"/>
    <s v="Khaung Doke Khar "/>
    <s v=""/>
    <x v="3"/>
    <s v="(2 units)"/>
    <n v="2"/>
    <x v="0"/>
    <m/>
  </r>
  <r>
    <s v="LOT 5 - Thazin Gone Young"/>
    <s v="Rakhine"/>
    <s v="Sittwe"/>
    <s v="Khaung Doke Khar "/>
    <s v=""/>
    <x v="0"/>
    <s v="(2 units)"/>
    <n v="2"/>
    <x v="0"/>
    <m/>
  </r>
  <r>
    <s v="LOT 5 - Thazin Gone Young"/>
    <s v="Rakhine"/>
    <s v="Sittwe"/>
    <s v="Khaung Doke Khar "/>
    <s v=""/>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6.xml><?xml version="1.0" encoding="utf-8"?>
<pivotCacheRecords xmlns="http://schemas.openxmlformats.org/spreadsheetml/2006/main" xmlns:r="http://schemas.openxmlformats.org/officeDocument/2006/relationships" count="570">
  <r>
    <n v="0.76666666666666672"/>
    <x v="0"/>
    <x v="0"/>
    <x v="0"/>
    <s v="DRC"/>
    <x v="0"/>
    <x v="0"/>
    <s v="Baw Du Pha 1"/>
    <m/>
    <n v="1013"/>
    <n v="4748"/>
    <m/>
    <m/>
    <n v="2038"/>
    <n v="1019"/>
    <n v="2038"/>
    <n v="1019"/>
    <m/>
    <m/>
    <m/>
    <n v="5095"/>
    <m/>
    <m/>
    <m/>
    <m/>
    <m/>
    <m/>
    <m/>
    <m/>
    <n v="0"/>
    <n v="0"/>
    <n v="0"/>
    <m/>
    <n v="2038"/>
    <n v="1019"/>
    <n v="2038"/>
    <n v="1019"/>
    <n v="0"/>
    <n v="0"/>
    <n v="0"/>
    <n v="12737.5"/>
    <n v="0"/>
    <n v="0"/>
    <n v="0"/>
    <n v="0"/>
    <s v="MMR012CMP113"/>
    <x v="0"/>
    <m/>
  </r>
  <r>
    <n v="0.8"/>
    <x v="0"/>
    <x v="1"/>
    <x v="0"/>
    <s v="LWF"/>
    <x v="0"/>
    <x v="0"/>
    <s v="Thae Chaung"/>
    <m/>
    <n v="1290"/>
    <n v="7506"/>
    <m/>
    <m/>
    <m/>
    <m/>
    <m/>
    <n v="1290"/>
    <m/>
    <m/>
    <m/>
    <m/>
    <m/>
    <m/>
    <m/>
    <m/>
    <m/>
    <m/>
    <m/>
    <m/>
    <n v="0"/>
    <n v="0"/>
    <n v="0"/>
    <m/>
    <n v="0"/>
    <n v="0"/>
    <n v="0"/>
    <n v="1290"/>
    <n v="0"/>
    <n v="0"/>
    <n v="0"/>
    <n v="0"/>
    <n v="0"/>
    <n v="0"/>
    <n v="0"/>
    <n v="0"/>
    <s v="MMR012CMP046"/>
    <x v="0"/>
    <m/>
  </r>
  <r>
    <n v="1.3"/>
    <x v="0"/>
    <x v="2"/>
    <x v="0"/>
    <s v="LWF"/>
    <x v="0"/>
    <x v="1"/>
    <s v="Nget Chaung 1"/>
    <m/>
    <n v="1010"/>
    <n v="4665"/>
    <m/>
    <m/>
    <n v="2020"/>
    <m/>
    <n v="2020"/>
    <n v="1010"/>
    <m/>
    <m/>
    <m/>
    <n v="5050"/>
    <m/>
    <m/>
    <m/>
    <m/>
    <m/>
    <m/>
    <m/>
    <m/>
    <n v="0"/>
    <n v="0"/>
    <n v="0"/>
    <m/>
    <n v="2020"/>
    <n v="0"/>
    <n v="2020"/>
    <n v="1010"/>
    <n v="0"/>
    <n v="0"/>
    <n v="0"/>
    <n v="12625"/>
    <n v="0"/>
    <n v="0"/>
    <n v="0"/>
    <n v="0"/>
    <s v="MMR012CMP017"/>
    <x v="0"/>
    <m/>
  </r>
  <r>
    <n v="1.6666666666666667"/>
    <x v="0"/>
    <x v="3"/>
    <x v="0"/>
    <s v="LWF"/>
    <x v="0"/>
    <x v="0"/>
    <s v="Thae Chaung"/>
    <m/>
    <n v="110"/>
    <n v="636"/>
    <m/>
    <m/>
    <m/>
    <n v="110"/>
    <m/>
    <m/>
    <m/>
    <m/>
    <m/>
    <m/>
    <m/>
    <m/>
    <m/>
    <m/>
    <m/>
    <m/>
    <m/>
    <m/>
    <n v="0"/>
    <n v="0"/>
    <n v="0"/>
    <m/>
    <n v="0"/>
    <n v="110"/>
    <n v="0"/>
    <n v="0"/>
    <n v="0"/>
    <n v="0"/>
    <n v="0"/>
    <n v="0"/>
    <n v="0"/>
    <n v="0"/>
    <n v="0"/>
    <n v="0"/>
    <s v="MMR012CMP046"/>
    <x v="0"/>
    <m/>
  </r>
  <r>
    <n v="1.7333333333333334"/>
    <x v="0"/>
    <x v="4"/>
    <x v="0"/>
    <s v="DRC"/>
    <x v="0"/>
    <x v="0"/>
    <s v="Say Tha Mar Gyi"/>
    <m/>
    <n v="2681"/>
    <n v="13596"/>
    <m/>
    <m/>
    <n v="5486"/>
    <n v="2743"/>
    <n v="5486"/>
    <n v="2743"/>
    <m/>
    <m/>
    <m/>
    <n v="13715"/>
    <m/>
    <m/>
    <m/>
    <m/>
    <m/>
    <m/>
    <m/>
    <m/>
    <n v="0"/>
    <n v="0"/>
    <n v="0"/>
    <m/>
    <n v="5486"/>
    <n v="2743"/>
    <n v="5486"/>
    <n v="2743"/>
    <n v="0"/>
    <n v="0"/>
    <n v="0"/>
    <n v="34287.5"/>
    <n v="0"/>
    <n v="0"/>
    <n v="0"/>
    <n v="0"/>
    <s v="MMR012CMP045"/>
    <x v="0"/>
    <m/>
  </r>
  <r>
    <n v="2.8333333333333335"/>
    <x v="0"/>
    <x v="5"/>
    <x v="1"/>
    <s v="DRC"/>
    <x v="0"/>
    <x v="0"/>
    <s v="Ohn Taw Chay"/>
    <m/>
    <n v="728"/>
    <n v="4080"/>
    <m/>
    <m/>
    <n v="2184"/>
    <n v="1456"/>
    <m/>
    <n v="728"/>
    <n v="2184"/>
    <m/>
    <m/>
    <m/>
    <m/>
    <m/>
    <m/>
    <m/>
    <m/>
    <m/>
    <m/>
    <m/>
    <n v="0"/>
    <n v="0"/>
    <n v="0"/>
    <m/>
    <n v="2184"/>
    <n v="1456"/>
    <n v="0"/>
    <n v="728"/>
    <n v="2184"/>
    <n v="0"/>
    <n v="0"/>
    <n v="0"/>
    <n v="0"/>
    <n v="0"/>
    <n v="0"/>
    <n v="0"/>
    <s v="MMR012CMP098"/>
    <x v="0"/>
    <m/>
  </r>
  <r>
    <n v="3.8333333333333335"/>
    <x v="0"/>
    <x v="6"/>
    <x v="2"/>
    <s v="LWF"/>
    <x v="0"/>
    <x v="0"/>
    <s v="Thae Chaung"/>
    <m/>
    <n v="30"/>
    <n v="150"/>
    <m/>
    <m/>
    <m/>
    <n v="30"/>
    <m/>
    <m/>
    <m/>
    <m/>
    <m/>
    <m/>
    <m/>
    <m/>
    <m/>
    <m/>
    <m/>
    <m/>
    <m/>
    <m/>
    <n v="0"/>
    <n v="0"/>
    <n v="0"/>
    <n v="0"/>
    <n v="0"/>
    <n v="30"/>
    <n v="0"/>
    <n v="0"/>
    <n v="0"/>
    <n v="0"/>
    <n v="0"/>
    <n v="0"/>
    <n v="0"/>
    <n v="0"/>
    <n v="0"/>
    <n v="0"/>
    <s v="MMR012CMP046"/>
    <x v="0"/>
    <m/>
  </r>
  <r>
    <n v="4.0666666666666664"/>
    <x v="0"/>
    <x v="7"/>
    <x v="1"/>
    <s v="DRC"/>
    <x v="0"/>
    <x v="0"/>
    <s v="Dar Pai"/>
    <m/>
    <n v="80"/>
    <n v="474"/>
    <m/>
    <m/>
    <m/>
    <n v="160"/>
    <m/>
    <m/>
    <m/>
    <m/>
    <m/>
    <m/>
    <m/>
    <m/>
    <m/>
    <m/>
    <m/>
    <m/>
    <m/>
    <n v="80"/>
    <n v="0"/>
    <n v="0"/>
    <n v="0"/>
    <n v="80"/>
    <n v="0"/>
    <n v="160"/>
    <n v="0"/>
    <n v="0"/>
    <n v="0"/>
    <n v="0"/>
    <n v="0"/>
    <n v="0"/>
    <n v="0"/>
    <n v="0"/>
    <n v="0"/>
    <n v="0"/>
    <s v="MMR012CMP041"/>
    <x v="0"/>
    <m/>
  </r>
  <r>
    <n v="4.9000000000000004"/>
    <x v="0"/>
    <x v="8"/>
    <x v="0"/>
    <s v="DRC"/>
    <x v="0"/>
    <x v="0"/>
    <s v="Dar Pai"/>
    <m/>
    <n v="144"/>
    <n v="880"/>
    <m/>
    <m/>
    <m/>
    <n v="288"/>
    <m/>
    <m/>
    <m/>
    <m/>
    <m/>
    <m/>
    <m/>
    <m/>
    <m/>
    <m/>
    <m/>
    <m/>
    <m/>
    <m/>
    <n v="0"/>
    <n v="0"/>
    <n v="0"/>
    <n v="0"/>
    <n v="0"/>
    <n v="288"/>
    <n v="0"/>
    <n v="0"/>
    <n v="0"/>
    <n v="0"/>
    <n v="0"/>
    <n v="0"/>
    <n v="0"/>
    <n v="0"/>
    <n v="0"/>
    <n v="0"/>
    <s v="MMR012CMP041"/>
    <x v="0"/>
    <m/>
  </r>
  <r>
    <n v="4.9333333333333336"/>
    <x v="0"/>
    <x v="9"/>
    <x v="3"/>
    <s v="NRC"/>
    <x v="0"/>
    <x v="0"/>
    <s v="Maw Ti Ngar"/>
    <m/>
    <n v="141"/>
    <n v="141"/>
    <m/>
    <m/>
    <m/>
    <m/>
    <m/>
    <m/>
    <m/>
    <m/>
    <m/>
    <m/>
    <m/>
    <m/>
    <m/>
    <n v="141"/>
    <m/>
    <m/>
    <m/>
    <m/>
    <n v="0"/>
    <n v="0"/>
    <n v="0"/>
    <n v="0"/>
    <n v="0"/>
    <n v="0"/>
    <n v="0"/>
    <n v="0"/>
    <n v="0"/>
    <n v="0"/>
    <n v="0"/>
    <n v="0"/>
    <n v="0"/>
    <n v="0"/>
    <n v="0"/>
    <n v="141"/>
    <s v="MMR012CMP092"/>
    <x v="0"/>
    <m/>
  </r>
  <r>
    <n v="4.9666666666666668"/>
    <x v="0"/>
    <x v="10"/>
    <x v="3"/>
    <s v="NRC"/>
    <x v="0"/>
    <x v="0"/>
    <s v="Maw Ti Ngar"/>
    <m/>
    <n v="76"/>
    <n v="76"/>
    <m/>
    <m/>
    <n v="141"/>
    <m/>
    <n v="141"/>
    <n v="2"/>
    <m/>
    <m/>
    <m/>
    <m/>
    <m/>
    <m/>
    <m/>
    <m/>
    <m/>
    <m/>
    <m/>
    <m/>
    <n v="0"/>
    <n v="0"/>
    <n v="0"/>
    <n v="0"/>
    <n v="141"/>
    <n v="0"/>
    <n v="141"/>
    <n v="2"/>
    <n v="0"/>
    <n v="0"/>
    <n v="0"/>
    <n v="0"/>
    <n v="0"/>
    <n v="0"/>
    <n v="0"/>
    <n v="0"/>
    <s v="MMR012CMP092"/>
    <x v="0"/>
    <s v="Supprot to Persson with specifi need ( Physical disable)"/>
  </r>
  <r>
    <n v="5"/>
    <x v="0"/>
    <x v="11"/>
    <x v="3"/>
    <s v="NRC"/>
    <x v="0"/>
    <x v="0"/>
    <s v="Maw Ti Ngar"/>
    <m/>
    <n v="207"/>
    <n v="207"/>
    <m/>
    <m/>
    <n v="61"/>
    <m/>
    <n v="61"/>
    <n v="14"/>
    <m/>
    <m/>
    <m/>
    <m/>
    <m/>
    <m/>
    <m/>
    <n v="208"/>
    <m/>
    <m/>
    <m/>
    <m/>
    <n v="0"/>
    <n v="0"/>
    <n v="0"/>
    <n v="0"/>
    <n v="61"/>
    <n v="0"/>
    <n v="61"/>
    <n v="14"/>
    <n v="0"/>
    <n v="0"/>
    <n v="0"/>
    <n v="0"/>
    <n v="0"/>
    <n v="0"/>
    <n v="0"/>
    <n v="208"/>
    <s v="MMR012CMP092"/>
    <x v="0"/>
    <s v="Supprot to Persson with specifi need ( Physical disable)"/>
  </r>
  <r>
    <n v="5.2"/>
    <x v="0"/>
    <x v="12"/>
    <x v="0"/>
    <s v="LWF"/>
    <x v="0"/>
    <x v="1"/>
    <s v="Ah Nauk Ywe"/>
    <m/>
    <n v="381"/>
    <n v="1403"/>
    <m/>
    <m/>
    <n v="762"/>
    <m/>
    <n v="762"/>
    <n v="381"/>
    <m/>
    <m/>
    <m/>
    <n v="1905"/>
    <m/>
    <m/>
    <m/>
    <m/>
    <m/>
    <m/>
    <m/>
    <m/>
    <n v="0"/>
    <n v="0"/>
    <n v="0"/>
    <n v="0"/>
    <n v="762"/>
    <n v="0"/>
    <n v="762"/>
    <n v="381"/>
    <n v="0"/>
    <n v="0"/>
    <n v="0"/>
    <n v="4762.5"/>
    <n v="0"/>
    <n v="0"/>
    <n v="0"/>
    <n v="0"/>
    <s v="MMR012CMP016"/>
    <x v="0"/>
    <m/>
  </r>
  <r>
    <n v="5.2666666666666666"/>
    <x v="0"/>
    <x v="13"/>
    <x v="1"/>
    <s v="DRC"/>
    <x v="0"/>
    <x v="0"/>
    <s v="Ohn Taw Chay"/>
    <m/>
    <n v="184"/>
    <n v="1040"/>
    <m/>
    <m/>
    <m/>
    <m/>
    <m/>
    <m/>
    <m/>
    <m/>
    <m/>
    <m/>
    <m/>
    <m/>
    <m/>
    <m/>
    <m/>
    <m/>
    <m/>
    <n v="184"/>
    <n v="0"/>
    <n v="0"/>
    <n v="0"/>
    <n v="184"/>
    <n v="0"/>
    <n v="0"/>
    <n v="0"/>
    <n v="0"/>
    <n v="0"/>
    <n v="0"/>
    <n v="0"/>
    <n v="0"/>
    <n v="0"/>
    <n v="0"/>
    <n v="0"/>
    <n v="0"/>
    <s v="MMR012CMP098"/>
    <x v="0"/>
    <m/>
  </r>
  <r>
    <n v="5.2666666666666666"/>
    <x v="0"/>
    <x v="13"/>
    <x v="0"/>
    <s v="DRC"/>
    <x v="0"/>
    <x v="0"/>
    <s v="Ohn Taw Chay"/>
    <m/>
    <n v="184"/>
    <n v="1040"/>
    <m/>
    <m/>
    <m/>
    <n v="368"/>
    <m/>
    <m/>
    <m/>
    <m/>
    <m/>
    <m/>
    <m/>
    <m/>
    <m/>
    <m/>
    <m/>
    <m/>
    <m/>
    <m/>
    <n v="0"/>
    <n v="0"/>
    <n v="0"/>
    <n v="0"/>
    <n v="0"/>
    <n v="368"/>
    <n v="0"/>
    <n v="0"/>
    <n v="0"/>
    <n v="0"/>
    <n v="0"/>
    <n v="0"/>
    <n v="0"/>
    <n v="0"/>
    <n v="0"/>
    <n v="0"/>
    <s v="MMR012CMP098"/>
    <x v="0"/>
    <m/>
  </r>
  <r>
    <n v="5.4"/>
    <x v="0"/>
    <x v="14"/>
    <x v="2"/>
    <s v="LWF"/>
    <x v="0"/>
    <x v="0"/>
    <s v="Khaung Doke Khar "/>
    <m/>
    <n v="10"/>
    <n v="50"/>
    <m/>
    <m/>
    <n v="10"/>
    <n v="30"/>
    <m/>
    <m/>
    <m/>
    <m/>
    <m/>
    <n v="10"/>
    <m/>
    <m/>
    <m/>
    <n v="10"/>
    <m/>
    <m/>
    <m/>
    <m/>
    <n v="0"/>
    <n v="0"/>
    <n v="0"/>
    <n v="0"/>
    <n v="10"/>
    <n v="30"/>
    <n v="0"/>
    <n v="0"/>
    <n v="0"/>
    <n v="0"/>
    <n v="0"/>
    <n v="10"/>
    <n v="0"/>
    <n v="0"/>
    <n v="0"/>
    <n v="10"/>
    <s v=""/>
    <x v="1"/>
    <s v="Supprot to Persson with specifi need ( Physical disable)"/>
  </r>
  <r>
    <n v="5.4"/>
    <x v="0"/>
    <x v="14"/>
    <x v="2"/>
    <s v="LWF"/>
    <x v="0"/>
    <x v="0"/>
    <s v="Basare"/>
    <m/>
    <n v="8"/>
    <n v="40"/>
    <m/>
    <m/>
    <n v="8"/>
    <m/>
    <m/>
    <m/>
    <m/>
    <m/>
    <m/>
    <n v="8"/>
    <m/>
    <m/>
    <m/>
    <n v="8"/>
    <m/>
    <m/>
    <m/>
    <m/>
    <n v="0"/>
    <n v="0"/>
    <n v="0"/>
    <n v="0"/>
    <n v="8"/>
    <n v="0"/>
    <n v="0"/>
    <n v="0"/>
    <n v="0"/>
    <n v="0"/>
    <n v="0"/>
    <n v="8"/>
    <n v="0"/>
    <n v="0"/>
    <n v="0"/>
    <n v="8"/>
    <s v="MMR012CMP039"/>
    <x v="0"/>
    <s v="Supprot to Persson with specifi need ( Physical disable)"/>
  </r>
  <r>
    <n v="5.3666666666666663"/>
    <x v="0"/>
    <x v="15"/>
    <x v="2"/>
    <s v="LWF"/>
    <x v="0"/>
    <x v="1"/>
    <s v="Nget Chaung 2"/>
    <m/>
    <n v="17"/>
    <n v="85"/>
    <m/>
    <m/>
    <n v="17"/>
    <m/>
    <m/>
    <m/>
    <m/>
    <m/>
    <m/>
    <n v="17"/>
    <m/>
    <m/>
    <m/>
    <n v="17"/>
    <m/>
    <m/>
    <m/>
    <m/>
    <n v="0"/>
    <n v="0"/>
    <n v="0"/>
    <n v="0"/>
    <n v="17"/>
    <n v="0"/>
    <n v="0"/>
    <n v="0"/>
    <n v="0"/>
    <n v="0"/>
    <n v="0"/>
    <n v="17"/>
    <n v="0"/>
    <n v="0"/>
    <n v="0"/>
    <n v="17"/>
    <s v="MMR012CMP017"/>
    <x v="0"/>
    <s v="Supprot to Persson with specifi need ( Physical disable)"/>
  </r>
  <r>
    <n v="5.4"/>
    <x v="0"/>
    <x v="14"/>
    <x v="2"/>
    <s v="LWF"/>
    <x v="0"/>
    <x v="1"/>
    <s v="Nget Chaung 1"/>
    <m/>
    <n v="18"/>
    <n v="90"/>
    <m/>
    <m/>
    <n v="18"/>
    <m/>
    <m/>
    <m/>
    <m/>
    <m/>
    <m/>
    <n v="18"/>
    <m/>
    <m/>
    <m/>
    <n v="18"/>
    <m/>
    <m/>
    <m/>
    <m/>
    <n v="0"/>
    <n v="0"/>
    <n v="0"/>
    <n v="0"/>
    <n v="18"/>
    <n v="0"/>
    <n v="0"/>
    <n v="0"/>
    <n v="0"/>
    <n v="0"/>
    <n v="0"/>
    <n v="18"/>
    <n v="0"/>
    <n v="0"/>
    <n v="0"/>
    <n v="18"/>
    <s v="MMR012CMP017"/>
    <x v="0"/>
    <m/>
  </r>
  <r>
    <n v="5.4"/>
    <x v="0"/>
    <x v="14"/>
    <x v="2"/>
    <s v="LWF"/>
    <x v="0"/>
    <x v="1"/>
    <s v="Ah Nauk Ywe"/>
    <m/>
    <n v="7"/>
    <n v="35"/>
    <m/>
    <m/>
    <n v="7"/>
    <m/>
    <m/>
    <m/>
    <m/>
    <m/>
    <m/>
    <n v="7"/>
    <m/>
    <m/>
    <m/>
    <n v="1"/>
    <m/>
    <m/>
    <m/>
    <m/>
    <n v="0"/>
    <n v="0"/>
    <n v="0"/>
    <n v="0"/>
    <n v="7"/>
    <n v="0"/>
    <n v="0"/>
    <n v="0"/>
    <n v="0"/>
    <n v="0"/>
    <n v="0"/>
    <n v="7"/>
    <n v="0"/>
    <n v="0"/>
    <n v="0"/>
    <n v="1"/>
    <s v="MMR012CMP016"/>
    <x v="0"/>
    <s v="Supprot to Persson with specifi need ( Physical disable)"/>
  </r>
  <r>
    <n v="5.4333333333333336"/>
    <x v="0"/>
    <x v="16"/>
    <x v="0"/>
    <s v="LWF"/>
    <x v="0"/>
    <x v="1"/>
    <s v="Nget Chaung 2"/>
    <m/>
    <n v="905"/>
    <n v="4233"/>
    <m/>
    <m/>
    <n v="1810"/>
    <m/>
    <n v="1810"/>
    <n v="905"/>
    <m/>
    <m/>
    <m/>
    <n v="4525"/>
    <m/>
    <m/>
    <m/>
    <m/>
    <m/>
    <m/>
    <m/>
    <m/>
    <n v="0"/>
    <n v="0"/>
    <n v="0"/>
    <n v="0"/>
    <n v="1810"/>
    <n v="0"/>
    <n v="1810"/>
    <n v="905"/>
    <n v="0"/>
    <n v="0"/>
    <n v="0"/>
    <n v="11312.5"/>
    <n v="0"/>
    <n v="0"/>
    <n v="0"/>
    <n v="0"/>
    <s v="MMR012CMP017"/>
    <x v="0"/>
    <m/>
  </r>
  <r>
    <n v="5.4333333333333336"/>
    <x v="0"/>
    <x v="16"/>
    <x v="4"/>
    <s v="MHAA"/>
    <x v="0"/>
    <x v="0"/>
    <s v="Ohn Taw Gyi (South)"/>
    <m/>
    <n v="150"/>
    <n v="750"/>
    <m/>
    <m/>
    <n v="150"/>
    <m/>
    <m/>
    <m/>
    <m/>
    <m/>
    <m/>
    <m/>
    <m/>
    <m/>
    <m/>
    <m/>
    <m/>
    <m/>
    <m/>
    <m/>
    <n v="0"/>
    <n v="0"/>
    <n v="0"/>
    <n v="0"/>
    <n v="150"/>
    <n v="0"/>
    <n v="0"/>
    <n v="0"/>
    <n v="0"/>
    <n v="0"/>
    <n v="0"/>
    <n v="0"/>
    <n v="0"/>
    <n v="0"/>
    <n v="0"/>
    <n v="0"/>
    <s v="MMR012CMP116"/>
    <x v="0"/>
    <m/>
  </r>
  <r>
    <n v="5.6333333333333337"/>
    <x v="0"/>
    <x v="17"/>
    <x v="5"/>
    <s v="SI"/>
    <x v="0"/>
    <x v="1"/>
    <s v="Nget Chaung 2"/>
    <m/>
    <n v="905"/>
    <n v="4233"/>
    <m/>
    <m/>
    <m/>
    <m/>
    <m/>
    <m/>
    <m/>
    <m/>
    <m/>
    <m/>
    <m/>
    <m/>
    <m/>
    <m/>
    <m/>
    <m/>
    <m/>
    <m/>
    <n v="0"/>
    <n v="0"/>
    <n v="0"/>
    <n v="0"/>
    <n v="0"/>
    <n v="0"/>
    <n v="0"/>
    <n v="0"/>
    <n v="0"/>
    <n v="0"/>
    <n v="0"/>
    <n v="0"/>
    <n v="0"/>
    <n v="0"/>
    <n v="0"/>
    <n v="0"/>
    <s v="MMR012CMP017"/>
    <x v="0"/>
    <m/>
  </r>
  <r>
    <n v="5.6333333333333337"/>
    <x v="0"/>
    <x v="17"/>
    <x v="0"/>
    <s v="RI"/>
    <x v="0"/>
    <x v="2"/>
    <s v="Taung Paw "/>
    <m/>
    <n v="637"/>
    <n v="2502"/>
    <m/>
    <m/>
    <m/>
    <n v="1440"/>
    <m/>
    <m/>
    <m/>
    <m/>
    <m/>
    <m/>
    <m/>
    <m/>
    <m/>
    <m/>
    <m/>
    <m/>
    <m/>
    <m/>
    <n v="0"/>
    <n v="0"/>
    <n v="0"/>
    <n v="0"/>
    <n v="0"/>
    <n v="1440"/>
    <n v="0"/>
    <n v="0"/>
    <n v="0"/>
    <n v="0"/>
    <n v="0"/>
    <n v="0"/>
    <n v="0"/>
    <n v="0"/>
    <n v="0"/>
    <n v="0"/>
    <s v="MMR012CMP014"/>
    <x v="0"/>
    <m/>
  </r>
  <r>
    <n v="5.666666666666667"/>
    <x v="0"/>
    <x v="18"/>
    <x v="5"/>
    <s v="SI"/>
    <x v="0"/>
    <x v="1"/>
    <s v="Ah Nauk Ywe"/>
    <m/>
    <n v="1249"/>
    <n v="4699"/>
    <m/>
    <m/>
    <n v="1249"/>
    <n v="1249"/>
    <n v="1249"/>
    <m/>
    <m/>
    <m/>
    <m/>
    <m/>
    <m/>
    <m/>
    <m/>
    <m/>
    <m/>
    <m/>
    <m/>
    <m/>
    <n v="0"/>
    <n v="0"/>
    <n v="0"/>
    <n v="0"/>
    <n v="1249"/>
    <n v="1249"/>
    <n v="1249"/>
    <n v="0"/>
    <n v="0"/>
    <n v="0"/>
    <n v="0"/>
    <n v="0"/>
    <n v="0"/>
    <n v="0"/>
    <n v="0"/>
    <n v="0"/>
    <s v="MMR012CMP016"/>
    <x v="0"/>
    <m/>
  </r>
  <r>
    <n v="6.5666666666666664"/>
    <x v="0"/>
    <x v="19"/>
    <x v="1"/>
    <s v="DRC"/>
    <x v="0"/>
    <x v="1"/>
    <s v="Sin Tet Maw"/>
    <m/>
    <n v="73"/>
    <n v="73"/>
    <m/>
    <m/>
    <m/>
    <m/>
    <m/>
    <m/>
    <m/>
    <m/>
    <m/>
    <m/>
    <n v="73"/>
    <n v="10"/>
    <m/>
    <m/>
    <m/>
    <m/>
    <m/>
    <m/>
    <n v="0"/>
    <n v="0"/>
    <n v="0"/>
    <n v="0"/>
    <n v="0"/>
    <n v="0"/>
    <n v="0"/>
    <n v="0"/>
    <n v="0"/>
    <n v="0"/>
    <n v="0"/>
    <n v="0"/>
    <n v="73"/>
    <n v="10"/>
    <n v="0"/>
    <n v="0"/>
    <s v="MMR012CMP019"/>
    <x v="0"/>
    <m/>
  </r>
  <r>
    <n v="6.6"/>
    <x v="0"/>
    <x v="20"/>
    <x v="6"/>
    <s v="IRW"/>
    <x v="0"/>
    <x v="0"/>
    <s v="Khaung Doke Khar "/>
    <m/>
    <n v="645"/>
    <n v="777"/>
    <m/>
    <m/>
    <m/>
    <m/>
    <m/>
    <m/>
    <m/>
    <m/>
    <m/>
    <m/>
    <m/>
    <n v="777"/>
    <m/>
    <m/>
    <m/>
    <m/>
    <m/>
    <m/>
    <n v="0"/>
    <n v="0"/>
    <n v="0"/>
    <n v="0"/>
    <n v="0"/>
    <n v="0"/>
    <n v="0"/>
    <n v="0"/>
    <n v="0"/>
    <n v="0"/>
    <n v="0"/>
    <n v="0"/>
    <n v="0"/>
    <n v="777"/>
    <n v="0"/>
    <n v="0"/>
    <s v=""/>
    <x v="1"/>
    <m/>
  </r>
  <r>
    <n v="6.6"/>
    <x v="0"/>
    <x v="20"/>
    <x v="6"/>
    <s v="IRW"/>
    <x v="0"/>
    <x v="0"/>
    <s v="Basare"/>
    <m/>
    <n v="397"/>
    <n v="397"/>
    <m/>
    <m/>
    <m/>
    <m/>
    <m/>
    <m/>
    <m/>
    <m/>
    <m/>
    <m/>
    <m/>
    <n v="397"/>
    <m/>
    <m/>
    <m/>
    <m/>
    <m/>
    <m/>
    <n v="0"/>
    <n v="0"/>
    <n v="0"/>
    <n v="0"/>
    <n v="0"/>
    <n v="0"/>
    <n v="0"/>
    <n v="0"/>
    <n v="0"/>
    <n v="0"/>
    <n v="0"/>
    <n v="0"/>
    <n v="0"/>
    <n v="397"/>
    <n v="0"/>
    <n v="0"/>
    <s v="MMR012CMP039"/>
    <x v="0"/>
    <m/>
  </r>
  <r>
    <n v="6.6"/>
    <x v="0"/>
    <x v="20"/>
    <x v="1"/>
    <s v="DRC"/>
    <x v="0"/>
    <x v="1"/>
    <s v="Kyein Ni Pyin"/>
    <m/>
    <n v="138"/>
    <n v="138"/>
    <m/>
    <m/>
    <m/>
    <m/>
    <m/>
    <m/>
    <m/>
    <m/>
    <m/>
    <m/>
    <n v="138"/>
    <n v="53"/>
    <m/>
    <m/>
    <m/>
    <m/>
    <m/>
    <m/>
    <n v="0"/>
    <n v="0"/>
    <n v="0"/>
    <n v="0"/>
    <n v="0"/>
    <n v="0"/>
    <n v="0"/>
    <n v="0"/>
    <n v="0"/>
    <n v="0"/>
    <n v="0"/>
    <n v="0"/>
    <n v="138"/>
    <n v="53"/>
    <n v="0"/>
    <n v="0"/>
    <s v="MMR012CMP018"/>
    <x v="0"/>
    <m/>
  </r>
  <r>
    <n v="6.833333333333333"/>
    <x v="0"/>
    <x v="21"/>
    <x v="1"/>
    <s v="DRC"/>
    <x v="0"/>
    <x v="0"/>
    <s v="Say Tha Mar Gyi"/>
    <m/>
    <n v="83"/>
    <n v="83"/>
    <m/>
    <m/>
    <m/>
    <m/>
    <m/>
    <m/>
    <m/>
    <m/>
    <m/>
    <m/>
    <n v="83"/>
    <n v="42"/>
    <m/>
    <m/>
    <m/>
    <m/>
    <m/>
    <m/>
    <n v="0"/>
    <n v="0"/>
    <n v="0"/>
    <n v="0"/>
    <n v="0"/>
    <n v="0"/>
    <n v="0"/>
    <n v="0"/>
    <n v="0"/>
    <n v="0"/>
    <n v="0"/>
    <n v="0"/>
    <n v="83"/>
    <n v="42"/>
    <n v="0"/>
    <n v="0"/>
    <s v="MMR012CMP045"/>
    <x v="0"/>
    <m/>
  </r>
  <r>
    <n v="6.833333333333333"/>
    <x v="0"/>
    <x v="21"/>
    <x v="1"/>
    <s v="DRC"/>
    <x v="0"/>
    <x v="0"/>
    <s v="Ohn Taw Gyi (North)"/>
    <m/>
    <n v="215"/>
    <n v="215"/>
    <m/>
    <m/>
    <m/>
    <m/>
    <m/>
    <m/>
    <m/>
    <m/>
    <m/>
    <m/>
    <n v="215"/>
    <n v="55"/>
    <m/>
    <m/>
    <m/>
    <m/>
    <m/>
    <m/>
    <n v="0"/>
    <n v="0"/>
    <n v="0"/>
    <n v="0"/>
    <n v="0"/>
    <n v="0"/>
    <n v="0"/>
    <n v="0"/>
    <n v="0"/>
    <n v="0"/>
    <n v="0"/>
    <n v="0"/>
    <n v="215"/>
    <n v="55"/>
    <n v="0"/>
    <n v="0"/>
    <s v="MMR012CMP115"/>
    <x v="0"/>
    <m/>
  </r>
  <r>
    <n v="6.833333333333333"/>
    <x v="0"/>
    <x v="21"/>
    <x v="1"/>
    <s v="DRC"/>
    <x v="0"/>
    <x v="0"/>
    <s v="Ohn Taw Chay"/>
    <m/>
    <n v="47"/>
    <n v="47"/>
    <m/>
    <m/>
    <m/>
    <m/>
    <m/>
    <m/>
    <m/>
    <m/>
    <m/>
    <m/>
    <n v="47"/>
    <n v="22"/>
    <m/>
    <m/>
    <m/>
    <m/>
    <m/>
    <m/>
    <n v="0"/>
    <n v="0"/>
    <n v="0"/>
    <n v="0"/>
    <n v="0"/>
    <n v="0"/>
    <n v="0"/>
    <n v="0"/>
    <n v="0"/>
    <n v="0"/>
    <n v="0"/>
    <n v="0"/>
    <n v="47"/>
    <n v="22"/>
    <n v="0"/>
    <n v="0"/>
    <s v="MMR012CMP098"/>
    <x v="0"/>
    <m/>
  </r>
  <r>
    <n v="6.833333333333333"/>
    <x v="0"/>
    <x v="21"/>
    <x v="1"/>
    <s v="DRC"/>
    <x v="0"/>
    <x v="0"/>
    <s v="Dar Pai"/>
    <m/>
    <n v="103"/>
    <n v="103"/>
    <m/>
    <m/>
    <m/>
    <m/>
    <m/>
    <m/>
    <m/>
    <m/>
    <m/>
    <m/>
    <n v="103"/>
    <n v="34"/>
    <m/>
    <m/>
    <m/>
    <m/>
    <m/>
    <m/>
    <n v="0"/>
    <n v="0"/>
    <n v="0"/>
    <n v="0"/>
    <n v="0"/>
    <n v="0"/>
    <n v="0"/>
    <n v="0"/>
    <n v="0"/>
    <n v="0"/>
    <n v="0"/>
    <n v="0"/>
    <n v="103"/>
    <n v="34"/>
    <n v="0"/>
    <n v="0"/>
    <s v="MMR012CMP041"/>
    <x v="0"/>
    <m/>
  </r>
  <r>
    <n v="6.833333333333333"/>
    <x v="0"/>
    <x v="21"/>
    <x v="1"/>
    <s v="DRC"/>
    <x v="0"/>
    <x v="0"/>
    <s v="Baw Du Pha 1"/>
    <m/>
    <n v="67"/>
    <n v="67"/>
    <m/>
    <m/>
    <m/>
    <m/>
    <m/>
    <m/>
    <m/>
    <m/>
    <m/>
    <m/>
    <n v="67"/>
    <n v="12"/>
    <m/>
    <m/>
    <m/>
    <m/>
    <m/>
    <m/>
    <n v="0"/>
    <n v="0"/>
    <n v="0"/>
    <n v="0"/>
    <n v="0"/>
    <n v="0"/>
    <n v="0"/>
    <n v="0"/>
    <n v="0"/>
    <n v="0"/>
    <n v="0"/>
    <n v="0"/>
    <n v="67"/>
    <n v="12"/>
    <n v="0"/>
    <n v="0"/>
    <s v="MMR012CMP113"/>
    <x v="0"/>
    <s v="Supprot to Persson with specifi need"/>
  </r>
  <r>
    <n v="6.833333333333333"/>
    <x v="0"/>
    <x v="21"/>
    <x v="1"/>
    <s v="DRC"/>
    <x v="0"/>
    <x v="0"/>
    <s v="Baw Du Pha 2"/>
    <m/>
    <n v="126"/>
    <n v="126"/>
    <m/>
    <m/>
    <m/>
    <m/>
    <m/>
    <m/>
    <m/>
    <m/>
    <m/>
    <m/>
    <n v="126"/>
    <n v="35"/>
    <m/>
    <m/>
    <m/>
    <m/>
    <m/>
    <m/>
    <n v="0"/>
    <n v="0"/>
    <n v="0"/>
    <n v="0"/>
    <n v="0"/>
    <n v="0"/>
    <n v="0"/>
    <n v="0"/>
    <n v="0"/>
    <n v="0"/>
    <n v="0"/>
    <n v="0"/>
    <n v="126"/>
    <n v="35"/>
    <n v="0"/>
    <n v="0"/>
    <s v="MMR012CMP114"/>
    <x v="0"/>
    <m/>
  </r>
  <r>
    <n v="8.5333333333333332"/>
    <x v="0"/>
    <x v="22"/>
    <x v="7"/>
    <s v="Oxfam"/>
    <x v="0"/>
    <x v="0"/>
    <s v="Say Tha Mar Gyi"/>
    <m/>
    <n v="2280"/>
    <n v="12540"/>
    <n v="2280"/>
    <m/>
    <m/>
    <m/>
    <m/>
    <m/>
    <m/>
    <m/>
    <m/>
    <m/>
    <m/>
    <m/>
    <m/>
    <m/>
    <m/>
    <m/>
    <m/>
    <m/>
    <n v="0"/>
    <n v="2280"/>
    <n v="0"/>
    <n v="0"/>
    <n v="0"/>
    <n v="0"/>
    <n v="0"/>
    <n v="0"/>
    <n v="0"/>
    <n v="0"/>
    <n v="0"/>
    <n v="0"/>
    <n v="0"/>
    <n v="0"/>
    <n v="0"/>
    <n v="0"/>
    <s v="MMR012CMP045"/>
    <x v="0"/>
    <m/>
  </r>
  <r>
    <n v="8.5666666666666664"/>
    <x v="0"/>
    <x v="23"/>
    <x v="7"/>
    <s v="Oxfam"/>
    <x v="0"/>
    <x v="0"/>
    <s v="Ohn Taw Gyi (North)"/>
    <m/>
    <n v="2728"/>
    <n v="15004"/>
    <n v="2728"/>
    <m/>
    <m/>
    <m/>
    <m/>
    <m/>
    <m/>
    <m/>
    <m/>
    <m/>
    <m/>
    <m/>
    <m/>
    <m/>
    <m/>
    <m/>
    <m/>
    <m/>
    <n v="0"/>
    <n v="2728"/>
    <n v="0"/>
    <n v="0"/>
    <n v="0"/>
    <n v="0"/>
    <n v="0"/>
    <n v="0"/>
    <n v="0"/>
    <n v="0"/>
    <n v="0"/>
    <n v="0"/>
    <n v="0"/>
    <n v="0"/>
    <n v="0"/>
    <n v="0"/>
    <s v="MMR012CMP115"/>
    <x v="0"/>
    <m/>
  </r>
  <r>
    <n v="8.6"/>
    <x v="0"/>
    <x v="24"/>
    <x v="7"/>
    <s v="Oxfam"/>
    <x v="0"/>
    <x v="0"/>
    <s v="Thet Kae Pyin "/>
    <m/>
    <n v="1312"/>
    <n v="7216"/>
    <n v="1312"/>
    <m/>
    <m/>
    <m/>
    <m/>
    <m/>
    <m/>
    <m/>
    <m/>
    <m/>
    <m/>
    <m/>
    <m/>
    <m/>
    <m/>
    <m/>
    <m/>
    <m/>
    <n v="0"/>
    <n v="1312"/>
    <n v="0"/>
    <n v="0"/>
    <n v="0"/>
    <n v="0"/>
    <n v="0"/>
    <n v="0"/>
    <n v="0"/>
    <n v="0"/>
    <n v="0"/>
    <n v="0"/>
    <n v="0"/>
    <n v="0"/>
    <n v="0"/>
    <n v="0"/>
    <s v="MMR012CMP048"/>
    <x v="0"/>
    <m/>
  </r>
  <r>
    <n v="8.6"/>
    <x v="0"/>
    <x v="24"/>
    <x v="7"/>
    <s v="Oxfam"/>
    <x v="0"/>
    <x v="0"/>
    <s v="Maw Ti Ngar"/>
    <m/>
    <n v="656"/>
    <n v="3608"/>
    <n v="656"/>
    <m/>
    <m/>
    <m/>
    <m/>
    <m/>
    <m/>
    <m/>
    <m/>
    <m/>
    <m/>
    <m/>
    <m/>
    <m/>
    <m/>
    <m/>
    <m/>
    <m/>
    <n v="0"/>
    <n v="656"/>
    <n v="0"/>
    <n v="0"/>
    <n v="0"/>
    <n v="0"/>
    <n v="0"/>
    <n v="0"/>
    <n v="0"/>
    <n v="0"/>
    <n v="0"/>
    <n v="0"/>
    <n v="0"/>
    <n v="0"/>
    <n v="0"/>
    <n v="0"/>
    <s v="MMR012CMP092"/>
    <x v="0"/>
    <m/>
  </r>
  <r>
    <n v="8.9666666666666668"/>
    <x v="0"/>
    <x v="25"/>
    <x v="8"/>
    <s v="SCI"/>
    <x v="0"/>
    <x v="1"/>
    <s v="Sin Tet Maw"/>
    <m/>
    <n v="720"/>
    <n v="2810"/>
    <n v="1440"/>
    <m/>
    <m/>
    <m/>
    <m/>
    <m/>
    <m/>
    <m/>
    <m/>
    <m/>
    <m/>
    <m/>
    <m/>
    <m/>
    <m/>
    <m/>
    <m/>
    <m/>
    <n v="0"/>
    <n v="1440"/>
    <n v="0"/>
    <n v="0"/>
    <n v="0"/>
    <n v="0"/>
    <n v="0"/>
    <n v="0"/>
    <n v="0"/>
    <n v="0"/>
    <n v="0"/>
    <n v="0"/>
    <n v="0"/>
    <n v="0"/>
    <n v="0"/>
    <n v="0"/>
    <s v="MMR012CMP019"/>
    <x v="0"/>
    <m/>
  </r>
  <r>
    <n v="9.4333333333333336"/>
    <x v="0"/>
    <x v="26"/>
    <x v="7"/>
    <s v="Oxfam"/>
    <x v="0"/>
    <x v="0"/>
    <s v="Thet Kae Pyin "/>
    <m/>
    <n v="1312"/>
    <n v="5856"/>
    <n v="1312"/>
    <m/>
    <m/>
    <m/>
    <m/>
    <m/>
    <m/>
    <m/>
    <m/>
    <m/>
    <m/>
    <m/>
    <m/>
    <m/>
    <m/>
    <m/>
    <m/>
    <m/>
    <n v="0"/>
    <n v="1312"/>
    <n v="0"/>
    <n v="0"/>
    <n v="0"/>
    <n v="0"/>
    <n v="0"/>
    <n v="0"/>
    <n v="0"/>
    <n v="0"/>
    <n v="0"/>
    <n v="0"/>
    <n v="0"/>
    <n v="0"/>
    <n v="0"/>
    <n v="0"/>
    <s v="MMR012CMP048"/>
    <x v="0"/>
    <m/>
  </r>
  <r>
    <n v="9.4666666666666668"/>
    <x v="0"/>
    <x v="27"/>
    <x v="7"/>
    <s v="Oxfam"/>
    <x v="0"/>
    <x v="0"/>
    <s v="Maw Ti Ngar"/>
    <m/>
    <n v="656"/>
    <n v="3441"/>
    <n v="656"/>
    <m/>
    <m/>
    <m/>
    <m/>
    <m/>
    <m/>
    <m/>
    <m/>
    <m/>
    <m/>
    <m/>
    <m/>
    <m/>
    <m/>
    <m/>
    <m/>
    <m/>
    <n v="0"/>
    <n v="656"/>
    <n v="0"/>
    <n v="0"/>
    <n v="0"/>
    <n v="0"/>
    <n v="0"/>
    <n v="0"/>
    <n v="0"/>
    <n v="0"/>
    <n v="0"/>
    <n v="0"/>
    <n v="0"/>
    <n v="0"/>
    <n v="0"/>
    <n v="0"/>
    <s v="MMR012CMP092"/>
    <x v="0"/>
    <m/>
  </r>
  <r>
    <n v="9.4666666666666668"/>
    <x v="0"/>
    <x v="27"/>
    <x v="7"/>
    <s v="Oxfam"/>
    <x v="0"/>
    <x v="0"/>
    <s v="Say Tha Mar Gyi"/>
    <m/>
    <n v="2280"/>
    <n v="13743"/>
    <n v="2280"/>
    <m/>
    <m/>
    <m/>
    <m/>
    <m/>
    <m/>
    <m/>
    <m/>
    <m/>
    <m/>
    <m/>
    <m/>
    <m/>
    <m/>
    <m/>
    <m/>
    <m/>
    <n v="0"/>
    <n v="2280"/>
    <n v="0"/>
    <n v="0"/>
    <n v="0"/>
    <n v="0"/>
    <n v="0"/>
    <n v="0"/>
    <n v="0"/>
    <n v="0"/>
    <n v="0"/>
    <n v="0"/>
    <n v="0"/>
    <n v="0"/>
    <n v="0"/>
    <n v="0"/>
    <s v="MMR012CMP045"/>
    <x v="0"/>
    <m/>
  </r>
  <r>
    <n v="9.5666666666666664"/>
    <x v="0"/>
    <x v="28"/>
    <x v="7"/>
    <s v="Oxfam"/>
    <x v="0"/>
    <x v="0"/>
    <s v="Ohn Taw Gyi (North)"/>
    <m/>
    <n v="2728"/>
    <n v="13794"/>
    <n v="2728"/>
    <m/>
    <m/>
    <m/>
    <m/>
    <m/>
    <m/>
    <m/>
    <m/>
    <m/>
    <m/>
    <m/>
    <m/>
    <m/>
    <m/>
    <m/>
    <m/>
    <m/>
    <n v="0"/>
    <n v="2728"/>
    <n v="0"/>
    <n v="0"/>
    <n v="0"/>
    <n v="0"/>
    <n v="0"/>
    <n v="0"/>
    <n v="0"/>
    <n v="0"/>
    <n v="0"/>
    <n v="0"/>
    <n v="0"/>
    <n v="0"/>
    <n v="0"/>
    <n v="0"/>
    <s v="MMR012CMP115"/>
    <x v="0"/>
    <m/>
  </r>
  <r>
    <n v="10.066666666666666"/>
    <x v="0"/>
    <x v="29"/>
    <x v="0"/>
    <s v="DRC"/>
    <x v="0"/>
    <x v="0"/>
    <s v="Say Tha Mar Gyi"/>
    <m/>
    <n v="37"/>
    <n v="37"/>
    <m/>
    <m/>
    <n v="37"/>
    <m/>
    <n v="37"/>
    <n v="37"/>
    <m/>
    <m/>
    <m/>
    <n v="111"/>
    <m/>
    <m/>
    <m/>
    <m/>
    <m/>
    <m/>
    <m/>
    <m/>
    <n v="0"/>
    <n v="0"/>
    <n v="0"/>
    <n v="0"/>
    <n v="37"/>
    <n v="0"/>
    <n v="37"/>
    <n v="37"/>
    <n v="0"/>
    <n v="0"/>
    <n v="0"/>
    <n v="277.5"/>
    <n v="0"/>
    <n v="0"/>
    <n v="0"/>
    <n v="0"/>
    <s v="MMR012CMP045"/>
    <x v="0"/>
    <s v="Distributed to Disable person , one person per HH"/>
  </r>
  <r>
    <n v="10.1"/>
    <x v="0"/>
    <x v="30"/>
    <x v="0"/>
    <s v="LWF"/>
    <x v="0"/>
    <x v="1"/>
    <s v="Ah Nauk Ywe"/>
    <m/>
    <n v="857"/>
    <n v="4287"/>
    <m/>
    <m/>
    <n v="1714"/>
    <m/>
    <n v="1714"/>
    <n v="857"/>
    <m/>
    <m/>
    <m/>
    <n v="4285"/>
    <m/>
    <m/>
    <m/>
    <m/>
    <m/>
    <m/>
    <m/>
    <m/>
    <n v="0"/>
    <n v="0"/>
    <n v="0"/>
    <n v="0"/>
    <n v="1714"/>
    <n v="0"/>
    <n v="1714"/>
    <n v="857"/>
    <n v="0"/>
    <n v="0"/>
    <n v="0"/>
    <n v="4285"/>
    <n v="0"/>
    <n v="0"/>
    <n v="0"/>
    <n v="0"/>
    <s v="MMR012CMP016"/>
    <x v="0"/>
    <m/>
  </r>
  <r>
    <n v="10.1"/>
    <x v="0"/>
    <x v="30"/>
    <x v="7"/>
    <s v="Oxfam"/>
    <x v="0"/>
    <x v="0"/>
    <s v="Thet Kae Pyin (IDPs in host family)"/>
    <m/>
    <n v="299"/>
    <n v="1644"/>
    <n v="299"/>
    <m/>
    <m/>
    <m/>
    <m/>
    <m/>
    <m/>
    <m/>
    <m/>
    <m/>
    <m/>
    <m/>
    <m/>
    <m/>
    <m/>
    <m/>
    <m/>
    <m/>
    <n v="0"/>
    <n v="299"/>
    <n v="0"/>
    <n v="0"/>
    <n v="0"/>
    <n v="0"/>
    <n v="0"/>
    <n v="0"/>
    <n v="0"/>
    <n v="0"/>
    <n v="0"/>
    <n v="0"/>
    <n v="0"/>
    <n v="0"/>
    <n v="0"/>
    <n v="0"/>
    <s v="MMR012CMP091"/>
    <x v="0"/>
    <m/>
  </r>
  <r>
    <n v="10.1"/>
    <x v="0"/>
    <x v="30"/>
    <x v="7"/>
    <s v="Oxfam"/>
    <x v="0"/>
    <x v="0"/>
    <s v="Thet Kae Pyin "/>
    <m/>
    <n v="1013"/>
    <n v="5571"/>
    <n v="1312"/>
    <m/>
    <m/>
    <m/>
    <m/>
    <m/>
    <m/>
    <m/>
    <m/>
    <m/>
    <m/>
    <m/>
    <m/>
    <m/>
    <m/>
    <m/>
    <m/>
    <m/>
    <n v="0"/>
    <n v="1312"/>
    <n v="0"/>
    <n v="0"/>
    <n v="0"/>
    <n v="0"/>
    <n v="0"/>
    <n v="0"/>
    <n v="0"/>
    <n v="0"/>
    <n v="0"/>
    <n v="0"/>
    <n v="0"/>
    <n v="0"/>
    <n v="0"/>
    <n v="0"/>
    <s v="MMR012CMP048"/>
    <x v="0"/>
    <m/>
  </r>
  <r>
    <n v="10.1"/>
    <x v="0"/>
    <x v="30"/>
    <x v="7"/>
    <s v="Oxfam"/>
    <x v="0"/>
    <x v="0"/>
    <s v="Maw Ti Ngar"/>
    <m/>
    <n v="656"/>
    <n v="3608"/>
    <n v="656"/>
    <m/>
    <m/>
    <m/>
    <m/>
    <m/>
    <m/>
    <m/>
    <m/>
    <m/>
    <m/>
    <m/>
    <m/>
    <m/>
    <m/>
    <m/>
    <m/>
    <m/>
    <n v="0"/>
    <n v="656"/>
    <n v="0"/>
    <n v="0"/>
    <n v="0"/>
    <n v="0"/>
    <n v="0"/>
    <n v="0"/>
    <n v="0"/>
    <n v="0"/>
    <n v="0"/>
    <n v="0"/>
    <n v="0"/>
    <n v="0"/>
    <n v="0"/>
    <n v="0"/>
    <s v="MMR012CMP092"/>
    <x v="0"/>
    <m/>
  </r>
  <r>
    <n v="10.133333333333333"/>
    <x v="0"/>
    <x v="31"/>
    <x v="7"/>
    <s v="Oxfam"/>
    <x v="0"/>
    <x v="0"/>
    <s v="Say Tha Mar Gyi"/>
    <m/>
    <n v="2280"/>
    <n v="12540"/>
    <n v="2280"/>
    <m/>
    <m/>
    <m/>
    <m/>
    <m/>
    <m/>
    <m/>
    <m/>
    <m/>
    <m/>
    <m/>
    <m/>
    <m/>
    <m/>
    <m/>
    <m/>
    <m/>
    <n v="0"/>
    <n v="2280"/>
    <n v="0"/>
    <n v="0"/>
    <n v="0"/>
    <n v="0"/>
    <n v="0"/>
    <n v="0"/>
    <n v="0"/>
    <n v="0"/>
    <n v="0"/>
    <n v="0"/>
    <n v="0"/>
    <n v="0"/>
    <n v="0"/>
    <n v="0"/>
    <s v="MMR012CMP045"/>
    <x v="0"/>
    <m/>
  </r>
  <r>
    <n v="10.133333333333333"/>
    <x v="0"/>
    <x v="31"/>
    <x v="7"/>
    <s v="Oxfam"/>
    <x v="0"/>
    <x v="0"/>
    <s v="Ohn Taw Gyi (North)"/>
    <m/>
    <n v="2728"/>
    <n v="15004"/>
    <n v="2728"/>
    <m/>
    <m/>
    <m/>
    <m/>
    <m/>
    <m/>
    <m/>
    <m/>
    <m/>
    <m/>
    <m/>
    <m/>
    <m/>
    <m/>
    <m/>
    <m/>
    <m/>
    <n v="0"/>
    <n v="2728"/>
    <n v="0"/>
    <n v="0"/>
    <n v="0"/>
    <n v="0"/>
    <n v="0"/>
    <n v="0"/>
    <n v="0"/>
    <n v="0"/>
    <n v="0"/>
    <n v="0"/>
    <n v="0"/>
    <n v="0"/>
    <n v="0"/>
    <n v="0"/>
    <s v="MMR012CMP115"/>
    <x v="0"/>
    <m/>
  </r>
  <r>
    <n v="10.133333333333333"/>
    <x v="0"/>
    <x v="31"/>
    <x v="6"/>
    <s v="IRW"/>
    <x v="0"/>
    <x v="0"/>
    <s v="Ohn Taw Gyi (South)"/>
    <m/>
    <n v="300"/>
    <n v="1500"/>
    <m/>
    <m/>
    <n v="600"/>
    <m/>
    <m/>
    <n v="300"/>
    <m/>
    <m/>
    <m/>
    <n v="300"/>
    <m/>
    <m/>
    <m/>
    <n v="300"/>
    <m/>
    <m/>
    <m/>
    <m/>
    <n v="0"/>
    <n v="0"/>
    <n v="0"/>
    <n v="0"/>
    <n v="600"/>
    <n v="0"/>
    <n v="0"/>
    <n v="300"/>
    <n v="0"/>
    <n v="0"/>
    <n v="0"/>
    <n v="300"/>
    <n v="0"/>
    <n v="0"/>
    <n v="0"/>
    <n v="300"/>
    <s v="MMR012CMP116"/>
    <x v="0"/>
    <m/>
  </r>
  <r>
    <n v="10.866666666666667"/>
    <x v="0"/>
    <x v="32"/>
    <x v="0"/>
    <s v="DRC"/>
    <x v="0"/>
    <x v="0"/>
    <s v="Ohn Taw Gyi (North)"/>
    <m/>
    <n v="22"/>
    <n v="22"/>
    <m/>
    <m/>
    <n v="22"/>
    <m/>
    <n v="22"/>
    <n v="22"/>
    <m/>
    <m/>
    <m/>
    <n v="66"/>
    <m/>
    <m/>
    <m/>
    <m/>
    <m/>
    <m/>
    <m/>
    <m/>
    <n v="0"/>
    <n v="0"/>
    <n v="0"/>
    <n v="0"/>
    <n v="22"/>
    <n v="0"/>
    <n v="22"/>
    <n v="22"/>
    <n v="0"/>
    <n v="0"/>
    <n v="0"/>
    <n v="66"/>
    <n v="0"/>
    <n v="0"/>
    <n v="0"/>
    <n v="0"/>
    <s v="MMR012CMP115"/>
    <x v="0"/>
    <s v="Distributed to Disable person , one person per HH"/>
  </r>
  <r>
    <n v="10.866666666666667"/>
    <x v="0"/>
    <x v="32"/>
    <x v="0"/>
    <s v="DRC"/>
    <x v="0"/>
    <x v="0"/>
    <s v="Ohn Taw Chay"/>
    <m/>
    <n v="5"/>
    <n v="5"/>
    <m/>
    <m/>
    <n v="5"/>
    <m/>
    <n v="5"/>
    <n v="5"/>
    <m/>
    <m/>
    <m/>
    <n v="15"/>
    <m/>
    <m/>
    <m/>
    <m/>
    <m/>
    <m/>
    <m/>
    <m/>
    <n v="0"/>
    <n v="0"/>
    <n v="0"/>
    <n v="0"/>
    <n v="5"/>
    <n v="0"/>
    <n v="5"/>
    <n v="5"/>
    <n v="0"/>
    <n v="0"/>
    <n v="0"/>
    <n v="15"/>
    <n v="0"/>
    <n v="0"/>
    <n v="0"/>
    <n v="0"/>
    <s v="MMR012CMP098"/>
    <x v="0"/>
    <s v="Distributed to Disable person , one person per HH"/>
  </r>
  <r>
    <n v="10.966666666666667"/>
    <x v="0"/>
    <x v="33"/>
    <x v="0"/>
    <s v="DRC"/>
    <x v="0"/>
    <x v="0"/>
    <s v="Dar Pai"/>
    <m/>
    <n v="20"/>
    <n v="20"/>
    <m/>
    <m/>
    <n v="20"/>
    <m/>
    <n v="20"/>
    <n v="20"/>
    <m/>
    <m/>
    <m/>
    <n v="60"/>
    <m/>
    <m/>
    <m/>
    <m/>
    <m/>
    <m/>
    <m/>
    <m/>
    <n v="0"/>
    <n v="0"/>
    <n v="0"/>
    <n v="0"/>
    <n v="20"/>
    <n v="0"/>
    <n v="20"/>
    <n v="20"/>
    <n v="0"/>
    <n v="0"/>
    <n v="0"/>
    <n v="60"/>
    <n v="0"/>
    <n v="0"/>
    <n v="0"/>
    <n v="0"/>
    <s v="MMR012CMP041"/>
    <x v="0"/>
    <s v="Distributed to Disable person , one person per HH"/>
  </r>
  <r>
    <n v="10.966666666666667"/>
    <x v="0"/>
    <x v="33"/>
    <x v="0"/>
    <s v="DRC"/>
    <x v="0"/>
    <x v="0"/>
    <s v="Baw Du Pha 2"/>
    <m/>
    <n v="19"/>
    <n v="19"/>
    <m/>
    <m/>
    <n v="19"/>
    <m/>
    <n v="19"/>
    <n v="19"/>
    <m/>
    <m/>
    <m/>
    <n v="57"/>
    <m/>
    <m/>
    <m/>
    <m/>
    <m/>
    <m/>
    <m/>
    <m/>
    <n v="0"/>
    <n v="0"/>
    <n v="0"/>
    <n v="0"/>
    <n v="19"/>
    <n v="0"/>
    <n v="19"/>
    <n v="19"/>
    <n v="0"/>
    <n v="0"/>
    <n v="0"/>
    <n v="57"/>
    <n v="0"/>
    <n v="0"/>
    <n v="0"/>
    <n v="0"/>
    <s v="MMR012CMP114"/>
    <x v="0"/>
    <s v="Distributed to Disable person , one person per HH"/>
  </r>
  <r>
    <n v="10.966666666666667"/>
    <x v="0"/>
    <x v="33"/>
    <x v="0"/>
    <s v="DRC"/>
    <x v="0"/>
    <x v="0"/>
    <s v="Baw Du Pha 1"/>
    <m/>
    <n v="22"/>
    <n v="22"/>
    <m/>
    <m/>
    <n v="22"/>
    <m/>
    <n v="22"/>
    <n v="22"/>
    <m/>
    <m/>
    <m/>
    <n v="66"/>
    <m/>
    <m/>
    <m/>
    <m/>
    <m/>
    <m/>
    <m/>
    <m/>
    <n v="0"/>
    <n v="0"/>
    <n v="0"/>
    <n v="0"/>
    <n v="22"/>
    <n v="0"/>
    <n v="22"/>
    <n v="22"/>
    <n v="0"/>
    <n v="0"/>
    <n v="0"/>
    <n v="66"/>
    <n v="0"/>
    <n v="0"/>
    <n v="0"/>
    <n v="0"/>
    <s v="MMR012CMP113"/>
    <x v="0"/>
    <s v="Distributed to Disable person , one person per HH"/>
  </r>
  <r>
    <n v="11.2"/>
    <x v="1"/>
    <x v="34"/>
    <x v="7"/>
    <s v="Oxfam"/>
    <x v="0"/>
    <x v="0"/>
    <s v="Thet Kae Pyin (IDPs in host family)"/>
    <m/>
    <n v="299"/>
    <n v="1645"/>
    <n v="299"/>
    <m/>
    <m/>
    <m/>
    <m/>
    <m/>
    <m/>
    <m/>
    <m/>
    <m/>
    <m/>
    <m/>
    <m/>
    <m/>
    <m/>
    <m/>
    <m/>
    <m/>
    <n v="0"/>
    <n v="299"/>
    <n v="0"/>
    <n v="0"/>
    <n v="0"/>
    <n v="0"/>
    <n v="0"/>
    <n v="0"/>
    <n v="0"/>
    <n v="0"/>
    <n v="0"/>
    <n v="0"/>
    <n v="0"/>
    <n v="0"/>
    <n v="0"/>
    <n v="0"/>
    <s v="MMR012CMP091"/>
    <x v="0"/>
    <m/>
  </r>
  <r>
    <n v="11.2"/>
    <x v="1"/>
    <x v="34"/>
    <x v="7"/>
    <s v="Oxfam"/>
    <x v="0"/>
    <x v="0"/>
    <s v="Thet Kae Pyin "/>
    <m/>
    <n v="1013"/>
    <n v="5572"/>
    <n v="1312"/>
    <m/>
    <m/>
    <m/>
    <m/>
    <m/>
    <m/>
    <m/>
    <m/>
    <m/>
    <m/>
    <m/>
    <m/>
    <m/>
    <m/>
    <m/>
    <m/>
    <m/>
    <n v="0"/>
    <n v="1312"/>
    <n v="0"/>
    <n v="0"/>
    <n v="0"/>
    <n v="0"/>
    <n v="0"/>
    <n v="0"/>
    <n v="0"/>
    <n v="0"/>
    <n v="0"/>
    <n v="0"/>
    <n v="0"/>
    <n v="0"/>
    <n v="0"/>
    <n v="0"/>
    <s v="MMR012CMP048"/>
    <x v="0"/>
    <m/>
  </r>
  <r>
    <n v="11.2"/>
    <x v="1"/>
    <x v="34"/>
    <x v="7"/>
    <s v="Oxfam"/>
    <x v="0"/>
    <x v="0"/>
    <s v="Say Tha Mar Gyi"/>
    <m/>
    <n v="2280"/>
    <n v="12540"/>
    <n v="2280"/>
    <m/>
    <m/>
    <m/>
    <m/>
    <m/>
    <m/>
    <m/>
    <m/>
    <m/>
    <m/>
    <m/>
    <m/>
    <m/>
    <m/>
    <m/>
    <m/>
    <m/>
    <n v="0"/>
    <n v="2280"/>
    <n v="0"/>
    <n v="0"/>
    <n v="0"/>
    <n v="0"/>
    <n v="0"/>
    <n v="0"/>
    <n v="0"/>
    <n v="0"/>
    <n v="0"/>
    <n v="0"/>
    <n v="0"/>
    <n v="0"/>
    <n v="0"/>
    <n v="0"/>
    <s v="MMR012CMP045"/>
    <x v="0"/>
    <m/>
  </r>
  <r>
    <n v="11.2"/>
    <x v="1"/>
    <x v="34"/>
    <x v="7"/>
    <s v="Oxfam"/>
    <x v="0"/>
    <x v="0"/>
    <s v="Ohn Taw Gyi (North)"/>
    <m/>
    <n v="2728"/>
    <n v="13794"/>
    <n v="2728"/>
    <m/>
    <m/>
    <m/>
    <m/>
    <m/>
    <m/>
    <m/>
    <m/>
    <m/>
    <m/>
    <m/>
    <m/>
    <m/>
    <m/>
    <m/>
    <m/>
    <m/>
    <n v="0"/>
    <n v="2728"/>
    <n v="0"/>
    <n v="0"/>
    <n v="0"/>
    <n v="0"/>
    <n v="0"/>
    <n v="0"/>
    <n v="0"/>
    <n v="0"/>
    <n v="0"/>
    <n v="0"/>
    <n v="0"/>
    <n v="0"/>
    <n v="0"/>
    <n v="0"/>
    <s v="MMR012CMP115"/>
    <x v="0"/>
    <m/>
  </r>
  <r>
    <n v="11.2"/>
    <x v="1"/>
    <x v="34"/>
    <x v="7"/>
    <s v="Oxfam"/>
    <x v="0"/>
    <x v="0"/>
    <s v="Maw Ti Ngar"/>
    <m/>
    <n v="656"/>
    <n v="3432"/>
    <n v="656"/>
    <m/>
    <m/>
    <m/>
    <m/>
    <m/>
    <m/>
    <m/>
    <m/>
    <m/>
    <m/>
    <m/>
    <m/>
    <m/>
    <m/>
    <m/>
    <m/>
    <m/>
    <n v="0"/>
    <n v="656"/>
    <n v="0"/>
    <n v="0"/>
    <n v="0"/>
    <n v="0"/>
    <n v="0"/>
    <n v="0"/>
    <n v="0"/>
    <n v="0"/>
    <n v="0"/>
    <n v="0"/>
    <n v="0"/>
    <n v="0"/>
    <n v="0"/>
    <n v="0"/>
    <s v="MMR012CMP092"/>
    <x v="0"/>
    <m/>
  </r>
  <r>
    <n v="11.433333333333334"/>
    <x v="1"/>
    <x v="35"/>
    <x v="0"/>
    <s v="DRC"/>
    <x v="0"/>
    <x v="1"/>
    <s v="Kyein Ni Pyin"/>
    <m/>
    <n v="1328"/>
    <n v="6028"/>
    <m/>
    <m/>
    <n v="2702"/>
    <m/>
    <n v="2702"/>
    <n v="1351"/>
    <m/>
    <m/>
    <m/>
    <n v="6755"/>
    <m/>
    <m/>
    <m/>
    <m/>
    <m/>
    <m/>
    <m/>
    <m/>
    <n v="0"/>
    <n v="0"/>
    <n v="0"/>
    <n v="0"/>
    <n v="2702"/>
    <n v="0"/>
    <n v="2702"/>
    <n v="1351"/>
    <n v="0"/>
    <n v="0"/>
    <n v="0"/>
    <n v="6755"/>
    <n v="0"/>
    <n v="0"/>
    <n v="0"/>
    <n v="0"/>
    <s v="MMR012CMP018"/>
    <x v="0"/>
    <m/>
  </r>
  <r>
    <n v="11.9"/>
    <x v="1"/>
    <x v="36"/>
    <x v="0"/>
    <s v="DRC"/>
    <x v="0"/>
    <x v="1"/>
    <s v="Kyein Ni Pyin"/>
    <m/>
    <n v="50"/>
    <n v="254"/>
    <m/>
    <m/>
    <m/>
    <n v="100"/>
    <n v="100"/>
    <n v="50"/>
    <m/>
    <n v="50"/>
    <n v="50"/>
    <n v="250"/>
    <m/>
    <m/>
    <m/>
    <m/>
    <m/>
    <m/>
    <m/>
    <m/>
    <n v="0"/>
    <n v="0"/>
    <n v="0"/>
    <n v="0"/>
    <n v="0"/>
    <n v="100"/>
    <n v="100"/>
    <n v="50"/>
    <n v="0"/>
    <n v="50"/>
    <n v="50"/>
    <n v="250"/>
    <n v="0"/>
    <n v="0"/>
    <n v="0"/>
    <n v="0"/>
    <s v="MMR012CMP018"/>
    <x v="0"/>
    <s v="For the fire burnt effected Households"/>
  </r>
  <r>
    <n v="11.966666666666667"/>
    <x v="1"/>
    <x v="37"/>
    <x v="0"/>
    <s v="NRC"/>
    <x v="0"/>
    <x v="0"/>
    <s v="Maw Ti Ngar"/>
    <m/>
    <n v="24"/>
    <n v="130"/>
    <m/>
    <m/>
    <m/>
    <n v="48"/>
    <m/>
    <m/>
    <m/>
    <m/>
    <m/>
    <m/>
    <m/>
    <m/>
    <m/>
    <m/>
    <m/>
    <m/>
    <m/>
    <m/>
    <n v="0"/>
    <n v="0"/>
    <n v="0"/>
    <n v="0"/>
    <n v="0"/>
    <n v="48"/>
    <n v="0"/>
    <n v="0"/>
    <n v="0"/>
    <n v="0"/>
    <n v="0"/>
    <n v="0"/>
    <n v="0"/>
    <n v="0"/>
    <n v="0"/>
    <n v="0"/>
    <s v="MMR012CMP092"/>
    <x v="0"/>
    <m/>
  </r>
  <r>
    <n v="12.166666666666666"/>
    <x v="1"/>
    <x v="38"/>
    <x v="7"/>
    <s v="Oxfam"/>
    <x v="0"/>
    <x v="0"/>
    <s v="Thet Kae Pyin (IDPs in host family)"/>
    <m/>
    <n v="299"/>
    <n v="1645"/>
    <n v="299"/>
    <m/>
    <m/>
    <m/>
    <m/>
    <m/>
    <m/>
    <m/>
    <m/>
    <m/>
    <m/>
    <m/>
    <m/>
    <m/>
    <m/>
    <m/>
    <m/>
    <m/>
    <n v="0"/>
    <n v="0"/>
    <n v="0"/>
    <n v="0"/>
    <n v="0"/>
    <n v="0"/>
    <n v="0"/>
    <n v="0"/>
    <n v="0"/>
    <n v="0"/>
    <n v="0"/>
    <n v="0"/>
    <n v="0"/>
    <n v="0"/>
    <n v="0"/>
    <n v="0"/>
    <s v="MMR012CMP091"/>
    <x v="0"/>
    <m/>
  </r>
  <r>
    <n v="12.166666666666666"/>
    <x v="1"/>
    <x v="38"/>
    <x v="7"/>
    <s v="Oxfam"/>
    <x v="0"/>
    <x v="0"/>
    <s v="Thet Kae Pyin "/>
    <m/>
    <n v="1013"/>
    <n v="5572"/>
    <n v="1312"/>
    <m/>
    <m/>
    <m/>
    <m/>
    <m/>
    <m/>
    <m/>
    <m/>
    <m/>
    <m/>
    <m/>
    <m/>
    <m/>
    <m/>
    <m/>
    <m/>
    <m/>
    <n v="0"/>
    <n v="0"/>
    <n v="0"/>
    <n v="0"/>
    <n v="0"/>
    <n v="0"/>
    <n v="0"/>
    <n v="0"/>
    <n v="0"/>
    <n v="0"/>
    <n v="0"/>
    <n v="0"/>
    <n v="0"/>
    <n v="0"/>
    <n v="0"/>
    <n v="0"/>
    <s v="MMR012CMP048"/>
    <x v="0"/>
    <m/>
  </r>
  <r>
    <n v="12.166666666666666"/>
    <x v="1"/>
    <x v="38"/>
    <x v="7"/>
    <s v="Oxfam"/>
    <x v="0"/>
    <x v="0"/>
    <s v="Ohn Taw Gyi (North)"/>
    <m/>
    <n v="2728"/>
    <n v="13794"/>
    <n v="2728"/>
    <m/>
    <m/>
    <m/>
    <m/>
    <m/>
    <m/>
    <m/>
    <m/>
    <m/>
    <m/>
    <m/>
    <m/>
    <m/>
    <m/>
    <m/>
    <m/>
    <m/>
    <n v="0"/>
    <n v="0"/>
    <n v="0"/>
    <n v="0"/>
    <n v="0"/>
    <n v="0"/>
    <n v="0"/>
    <n v="0"/>
    <n v="0"/>
    <n v="0"/>
    <n v="0"/>
    <n v="0"/>
    <n v="0"/>
    <n v="0"/>
    <n v="0"/>
    <n v="0"/>
    <s v="MMR012CMP115"/>
    <x v="0"/>
    <m/>
  </r>
  <r>
    <n v="12.166666666666666"/>
    <x v="1"/>
    <x v="38"/>
    <x v="7"/>
    <s v="Oxfam"/>
    <x v="0"/>
    <x v="0"/>
    <s v="Maw Ti Ngar"/>
    <m/>
    <n v="656"/>
    <n v="3432"/>
    <n v="656"/>
    <m/>
    <m/>
    <m/>
    <m/>
    <m/>
    <m/>
    <m/>
    <m/>
    <m/>
    <m/>
    <m/>
    <m/>
    <m/>
    <m/>
    <m/>
    <m/>
    <m/>
    <n v="0"/>
    <n v="0"/>
    <n v="0"/>
    <n v="0"/>
    <n v="0"/>
    <n v="0"/>
    <n v="0"/>
    <n v="0"/>
    <n v="0"/>
    <n v="0"/>
    <n v="0"/>
    <n v="0"/>
    <n v="0"/>
    <n v="0"/>
    <n v="0"/>
    <n v="0"/>
    <s v="MMR012CMP092"/>
    <x v="0"/>
    <m/>
  </r>
  <r>
    <n v="12.233333333333333"/>
    <x v="1"/>
    <x v="39"/>
    <x v="9"/>
    <s v="SI"/>
    <x v="0"/>
    <x v="1"/>
    <s v="Nget Chaung 1"/>
    <m/>
    <n v="928"/>
    <n v="3962"/>
    <m/>
    <n v="928"/>
    <m/>
    <m/>
    <m/>
    <m/>
    <m/>
    <m/>
    <m/>
    <m/>
    <m/>
    <m/>
    <m/>
    <m/>
    <m/>
    <m/>
    <m/>
    <m/>
    <n v="0"/>
    <n v="0"/>
    <n v="0"/>
    <n v="0"/>
    <n v="0"/>
    <n v="0"/>
    <n v="0"/>
    <n v="0"/>
    <n v="0"/>
    <n v="0"/>
    <n v="0"/>
    <n v="0"/>
    <n v="0"/>
    <n v="0"/>
    <n v="0"/>
    <n v="0"/>
    <s v="MMR012CMP017"/>
    <x v="0"/>
    <m/>
  </r>
  <r>
    <n v="12.266666666666667"/>
    <x v="1"/>
    <x v="40"/>
    <x v="5"/>
    <s v="SI"/>
    <x v="0"/>
    <x v="0"/>
    <s v="Thae Chaung"/>
    <m/>
    <n v="1138"/>
    <n v="13460"/>
    <m/>
    <n v="1138"/>
    <m/>
    <m/>
    <m/>
    <m/>
    <m/>
    <m/>
    <m/>
    <m/>
    <m/>
    <m/>
    <m/>
    <m/>
    <m/>
    <m/>
    <m/>
    <m/>
    <n v="0"/>
    <n v="0"/>
    <n v="0"/>
    <n v="0"/>
    <n v="0"/>
    <n v="0"/>
    <n v="0"/>
    <n v="0"/>
    <n v="0"/>
    <n v="0"/>
    <n v="0"/>
    <n v="0"/>
    <n v="0"/>
    <n v="0"/>
    <n v="0"/>
    <n v="0"/>
    <s v="MMR012CMP046"/>
    <x v="0"/>
    <m/>
  </r>
  <r>
    <n v="12.3"/>
    <x v="1"/>
    <x v="41"/>
    <x v="7"/>
    <s v="Oxfam"/>
    <x v="0"/>
    <x v="0"/>
    <s v="Say Tha Mar Gyi"/>
    <m/>
    <n v="2280"/>
    <n v="12540"/>
    <n v="2280"/>
    <m/>
    <m/>
    <m/>
    <m/>
    <m/>
    <m/>
    <m/>
    <m/>
    <m/>
    <m/>
    <m/>
    <m/>
    <m/>
    <m/>
    <m/>
    <m/>
    <m/>
    <n v="0"/>
    <n v="0"/>
    <n v="0"/>
    <n v="0"/>
    <n v="0"/>
    <n v="0"/>
    <n v="0"/>
    <n v="0"/>
    <n v="0"/>
    <n v="0"/>
    <n v="0"/>
    <n v="0"/>
    <n v="0"/>
    <n v="0"/>
    <n v="0"/>
    <n v="0"/>
    <s v="MMR012CMP045"/>
    <x v="0"/>
    <m/>
  </r>
  <r>
    <n v="12.4"/>
    <x v="1"/>
    <x v="42"/>
    <x v="10"/>
    <s v="SI/CDN"/>
    <x v="0"/>
    <x v="0"/>
    <s v="Khaung Doke Khar "/>
    <m/>
    <n v="799"/>
    <n v="4471"/>
    <m/>
    <n v="799"/>
    <m/>
    <m/>
    <m/>
    <m/>
    <m/>
    <m/>
    <m/>
    <m/>
    <m/>
    <m/>
    <m/>
    <m/>
    <m/>
    <m/>
    <m/>
    <m/>
    <n v="0"/>
    <n v="0"/>
    <n v="0"/>
    <n v="0"/>
    <n v="0"/>
    <n v="0"/>
    <n v="0"/>
    <n v="0"/>
    <n v="0"/>
    <n v="0"/>
    <n v="0"/>
    <n v="0"/>
    <n v="0"/>
    <n v="0"/>
    <n v="0"/>
    <n v="0"/>
    <s v=""/>
    <x v="1"/>
    <m/>
  </r>
  <r>
    <n v="12.8"/>
    <x v="1"/>
    <x v="43"/>
    <x v="8"/>
    <s v="SCI"/>
    <x v="0"/>
    <x v="0"/>
    <s v="Basare"/>
    <m/>
    <n v="397"/>
    <n v="2269"/>
    <m/>
    <n v="397"/>
    <m/>
    <m/>
    <m/>
    <m/>
    <m/>
    <m/>
    <m/>
    <m/>
    <m/>
    <m/>
    <m/>
    <m/>
    <m/>
    <m/>
    <m/>
    <m/>
    <n v="0"/>
    <n v="0"/>
    <n v="0"/>
    <n v="0"/>
    <n v="0"/>
    <n v="0"/>
    <n v="0"/>
    <n v="0"/>
    <n v="0"/>
    <n v="0"/>
    <n v="0"/>
    <n v="0"/>
    <n v="0"/>
    <n v="0"/>
    <n v="0"/>
    <n v="0"/>
    <s v="MMR012CMP039"/>
    <x v="0"/>
    <m/>
  </r>
  <r>
    <n v="12.9"/>
    <x v="1"/>
    <x v="44"/>
    <x v="1"/>
    <s v="DRC"/>
    <x v="0"/>
    <x v="0"/>
    <s v="Ohn Taw Gyi (South)"/>
    <m/>
    <n v="1145"/>
    <n v="11730"/>
    <m/>
    <n v="1145"/>
    <m/>
    <m/>
    <m/>
    <m/>
    <m/>
    <m/>
    <m/>
    <m/>
    <m/>
    <m/>
    <m/>
    <m/>
    <m/>
    <m/>
    <m/>
    <m/>
    <n v="0"/>
    <n v="0"/>
    <n v="0"/>
    <n v="0"/>
    <n v="0"/>
    <n v="0"/>
    <n v="0"/>
    <n v="0"/>
    <n v="0"/>
    <n v="0"/>
    <n v="0"/>
    <n v="0"/>
    <n v="0"/>
    <n v="0"/>
    <n v="0"/>
    <n v="0"/>
    <s v="MMR012CMP116"/>
    <x v="0"/>
    <m/>
  </r>
  <r>
    <n v="13.166666666666666"/>
    <x v="1"/>
    <x v="45"/>
    <x v="8"/>
    <s v="SCI"/>
    <x v="0"/>
    <x v="1"/>
    <s v="Sin Tet Maw"/>
    <m/>
    <n v="720"/>
    <n v="2810"/>
    <m/>
    <n v="2160"/>
    <m/>
    <m/>
    <m/>
    <m/>
    <m/>
    <m/>
    <m/>
    <m/>
    <m/>
    <m/>
    <m/>
    <m/>
    <m/>
    <m/>
    <m/>
    <m/>
    <n v="0"/>
    <n v="0"/>
    <n v="0"/>
    <n v="0"/>
    <n v="0"/>
    <n v="0"/>
    <n v="0"/>
    <n v="0"/>
    <n v="0"/>
    <n v="0"/>
    <n v="0"/>
    <n v="0"/>
    <n v="0"/>
    <n v="0"/>
    <n v="0"/>
    <n v="0"/>
    <s v="MMR012CMP019"/>
    <x v="0"/>
    <m/>
  </r>
  <r>
    <n v="13.4"/>
    <x v="1"/>
    <x v="46"/>
    <x v="8"/>
    <s v="SCI"/>
    <x v="0"/>
    <x v="0"/>
    <s v="Basare"/>
    <m/>
    <n v="397"/>
    <n v="2196"/>
    <m/>
    <n v="794"/>
    <m/>
    <m/>
    <m/>
    <m/>
    <m/>
    <m/>
    <m/>
    <m/>
    <m/>
    <m/>
    <m/>
    <m/>
    <m/>
    <m/>
    <m/>
    <m/>
    <n v="0"/>
    <n v="0"/>
    <n v="0"/>
    <n v="0"/>
    <n v="0"/>
    <n v="0"/>
    <n v="0"/>
    <n v="0"/>
    <n v="0"/>
    <n v="0"/>
    <n v="0"/>
    <n v="0"/>
    <n v="0"/>
    <n v="0"/>
    <n v="0"/>
    <n v="0"/>
    <s v="MMR012CMP039"/>
    <x v="0"/>
    <m/>
  </r>
  <r>
    <n v="13.4"/>
    <x v="1"/>
    <x v="46"/>
    <x v="8"/>
    <s v="SCI"/>
    <x v="0"/>
    <x v="0"/>
    <s v="Ohn Taw Gyi (North)"/>
    <m/>
    <n v="2718"/>
    <n v="13798"/>
    <m/>
    <n v="5436"/>
    <m/>
    <m/>
    <m/>
    <m/>
    <m/>
    <m/>
    <m/>
    <m/>
    <m/>
    <m/>
    <m/>
    <m/>
    <m/>
    <m/>
    <m/>
    <m/>
    <n v="0"/>
    <n v="0"/>
    <n v="0"/>
    <n v="0"/>
    <n v="0"/>
    <n v="0"/>
    <n v="0"/>
    <n v="0"/>
    <n v="0"/>
    <n v="0"/>
    <n v="0"/>
    <n v="0"/>
    <n v="0"/>
    <n v="0"/>
    <n v="0"/>
    <n v="0"/>
    <s v="MMR012CMP115"/>
    <x v="0"/>
    <m/>
  </r>
  <r>
    <n v="13.433333333333334"/>
    <x v="1"/>
    <x v="47"/>
    <x v="8"/>
    <s v="SCI"/>
    <x v="0"/>
    <x v="0"/>
    <s v="Maw Ti Ngar"/>
    <m/>
    <n v="656"/>
    <n v="3492"/>
    <m/>
    <n v="1312"/>
    <m/>
    <m/>
    <m/>
    <m/>
    <m/>
    <m/>
    <m/>
    <m/>
    <m/>
    <m/>
    <m/>
    <m/>
    <m/>
    <m/>
    <m/>
    <m/>
    <n v="0"/>
    <n v="0"/>
    <n v="0"/>
    <n v="0"/>
    <n v="0"/>
    <n v="0"/>
    <n v="0"/>
    <n v="0"/>
    <n v="0"/>
    <n v="0"/>
    <n v="0"/>
    <n v="0"/>
    <n v="0"/>
    <n v="0"/>
    <n v="0"/>
    <n v="0"/>
    <s v="MMR012CMP092"/>
    <x v="0"/>
    <m/>
  </r>
  <r>
    <n v="13.433333333333334"/>
    <x v="1"/>
    <x v="47"/>
    <x v="8"/>
    <s v="SCI"/>
    <x v="0"/>
    <x v="0"/>
    <s v="Thet Kae Pyin "/>
    <m/>
    <n v="1013"/>
    <n v="5928"/>
    <m/>
    <n v="2026"/>
    <m/>
    <m/>
    <m/>
    <m/>
    <m/>
    <m/>
    <m/>
    <m/>
    <m/>
    <m/>
    <m/>
    <m/>
    <m/>
    <m/>
    <m/>
    <m/>
    <n v="0"/>
    <n v="0"/>
    <n v="0"/>
    <n v="0"/>
    <n v="0"/>
    <n v="0"/>
    <n v="0"/>
    <n v="0"/>
    <n v="0"/>
    <n v="0"/>
    <n v="0"/>
    <n v="0"/>
    <n v="0"/>
    <n v="0"/>
    <n v="0"/>
    <n v="0"/>
    <s v="MMR012CMP048"/>
    <x v="0"/>
    <m/>
  </r>
  <r>
    <n v="14.166666666666666"/>
    <x v="1"/>
    <x v="48"/>
    <x v="9"/>
    <s v="UNICEF"/>
    <x v="0"/>
    <x v="1"/>
    <s v="Ah Nauk Ywe"/>
    <m/>
    <n v="1238"/>
    <n v="6809"/>
    <m/>
    <n v="1238"/>
    <m/>
    <n v="1238"/>
    <m/>
    <m/>
    <m/>
    <n v="1238"/>
    <m/>
    <m/>
    <m/>
    <m/>
    <m/>
    <m/>
    <m/>
    <m/>
    <m/>
    <m/>
    <n v="0"/>
    <n v="0"/>
    <n v="0"/>
    <n v="0"/>
    <n v="0"/>
    <n v="0"/>
    <n v="0"/>
    <n v="0"/>
    <n v="0"/>
    <n v="0"/>
    <n v="0"/>
    <n v="0"/>
    <n v="0"/>
    <n v="0"/>
    <n v="0"/>
    <n v="0"/>
    <s v="MMR012CMP016"/>
    <x v="0"/>
    <m/>
  </r>
  <r>
    <n v="14.166666666666666"/>
    <x v="1"/>
    <x v="48"/>
    <x v="5"/>
    <s v="SI"/>
    <x v="0"/>
    <x v="0"/>
    <s v="Thae Chaung"/>
    <m/>
    <n v="1138"/>
    <n v="6259"/>
    <m/>
    <n v="1138"/>
    <m/>
    <m/>
    <m/>
    <m/>
    <m/>
    <m/>
    <m/>
    <m/>
    <m/>
    <m/>
    <m/>
    <m/>
    <m/>
    <m/>
    <m/>
    <m/>
    <n v="0"/>
    <n v="0"/>
    <n v="0"/>
    <n v="0"/>
    <n v="0"/>
    <n v="0"/>
    <n v="0"/>
    <n v="0"/>
    <n v="0"/>
    <n v="0"/>
    <n v="0"/>
    <n v="0"/>
    <n v="0"/>
    <n v="0"/>
    <n v="0"/>
    <n v="0"/>
    <s v="MMR012CMP046"/>
    <x v="0"/>
    <m/>
  </r>
  <r>
    <n v="15.433333333333334"/>
    <x v="1"/>
    <x v="49"/>
    <x v="5"/>
    <s v="SI"/>
    <x v="0"/>
    <x v="0"/>
    <s v="Khaung Doke Khar "/>
    <m/>
    <n v="400"/>
    <n v="2187"/>
    <m/>
    <n v="800"/>
    <m/>
    <m/>
    <m/>
    <m/>
    <m/>
    <m/>
    <m/>
    <m/>
    <m/>
    <m/>
    <m/>
    <m/>
    <m/>
    <m/>
    <m/>
    <m/>
    <n v="0"/>
    <n v="0"/>
    <n v="0"/>
    <n v="0"/>
    <n v="0"/>
    <n v="0"/>
    <n v="0"/>
    <n v="0"/>
    <n v="0"/>
    <n v="0"/>
    <n v="0"/>
    <n v="0"/>
    <n v="0"/>
    <n v="0"/>
    <n v="0"/>
    <n v="0"/>
    <s v=""/>
    <x v="1"/>
    <m/>
  </r>
  <r>
    <n v="15.433333333333334"/>
    <x v="1"/>
    <x v="49"/>
    <x v="8"/>
    <s v="SCI"/>
    <x v="0"/>
    <x v="0"/>
    <s v="Ohn Taw Gyi (North)"/>
    <m/>
    <n v="2718"/>
    <n v="13798"/>
    <m/>
    <n v="2718"/>
    <m/>
    <m/>
    <m/>
    <m/>
    <m/>
    <m/>
    <m/>
    <m/>
    <m/>
    <m/>
    <m/>
    <m/>
    <m/>
    <m/>
    <m/>
    <m/>
    <n v="0"/>
    <n v="0"/>
    <n v="0"/>
    <n v="0"/>
    <n v="0"/>
    <n v="0"/>
    <n v="0"/>
    <n v="0"/>
    <n v="0"/>
    <n v="0"/>
    <n v="0"/>
    <n v="0"/>
    <n v="0"/>
    <n v="0"/>
    <n v="0"/>
    <n v="0"/>
    <s v="MMR012CMP115"/>
    <x v="0"/>
    <m/>
  </r>
  <r>
    <n v="15.433333333333334"/>
    <x v="1"/>
    <x v="49"/>
    <x v="8"/>
    <s v="SCI"/>
    <x v="0"/>
    <x v="0"/>
    <s v="Maw Ti Ngar"/>
    <m/>
    <n v="656"/>
    <n v="3492"/>
    <m/>
    <n v="656"/>
    <m/>
    <m/>
    <m/>
    <m/>
    <m/>
    <m/>
    <m/>
    <m/>
    <m/>
    <m/>
    <m/>
    <m/>
    <m/>
    <m/>
    <m/>
    <m/>
    <n v="0"/>
    <n v="0"/>
    <n v="0"/>
    <n v="0"/>
    <n v="0"/>
    <n v="0"/>
    <n v="0"/>
    <n v="0"/>
    <n v="0"/>
    <n v="0"/>
    <n v="0"/>
    <n v="0"/>
    <n v="0"/>
    <n v="0"/>
    <n v="0"/>
    <n v="0"/>
    <s v="MMR012CMP092"/>
    <x v="0"/>
    <m/>
  </r>
  <r>
    <n v="15.433333333333334"/>
    <x v="1"/>
    <x v="49"/>
    <x v="8"/>
    <s v="SCI"/>
    <x v="0"/>
    <x v="0"/>
    <s v="Basare"/>
    <m/>
    <n v="397"/>
    <n v="2196"/>
    <m/>
    <n v="397"/>
    <m/>
    <m/>
    <m/>
    <m/>
    <m/>
    <m/>
    <m/>
    <m/>
    <m/>
    <m/>
    <m/>
    <m/>
    <m/>
    <m/>
    <m/>
    <m/>
    <n v="0"/>
    <n v="0"/>
    <n v="0"/>
    <n v="0"/>
    <n v="0"/>
    <n v="0"/>
    <n v="0"/>
    <n v="0"/>
    <n v="0"/>
    <n v="0"/>
    <n v="0"/>
    <n v="0"/>
    <n v="0"/>
    <n v="0"/>
    <n v="0"/>
    <n v="0"/>
    <s v="MMR012CMP039"/>
    <x v="0"/>
    <m/>
  </r>
  <r>
    <n v="15.5"/>
    <x v="1"/>
    <x v="50"/>
    <x v="5"/>
    <s v="SI"/>
    <x v="0"/>
    <x v="0"/>
    <s v="Thae Chaung"/>
    <m/>
    <n v="1137"/>
    <n v="6253"/>
    <m/>
    <n v="1137"/>
    <m/>
    <m/>
    <m/>
    <m/>
    <m/>
    <m/>
    <m/>
    <m/>
    <m/>
    <m/>
    <m/>
    <m/>
    <m/>
    <m/>
    <m/>
    <m/>
    <n v="0"/>
    <n v="0"/>
    <n v="0"/>
    <n v="0"/>
    <n v="0"/>
    <n v="0"/>
    <n v="0"/>
    <n v="0"/>
    <n v="0"/>
    <n v="0"/>
    <n v="0"/>
    <n v="0"/>
    <n v="0"/>
    <n v="0"/>
    <n v="0"/>
    <n v="0"/>
    <s v="MMR012CMP046"/>
    <x v="0"/>
    <m/>
  </r>
  <r>
    <n v="15.9"/>
    <x v="1"/>
    <x v="51"/>
    <x v="0"/>
    <s v="DRC"/>
    <x v="0"/>
    <x v="1"/>
    <s v="Sin Tet Maw"/>
    <m/>
    <n v="630"/>
    <n v="3465"/>
    <m/>
    <m/>
    <n v="630"/>
    <n v="630"/>
    <m/>
    <n v="630"/>
    <m/>
    <m/>
    <n v="630"/>
    <n v="1890"/>
    <m/>
    <m/>
    <m/>
    <m/>
    <m/>
    <m/>
    <m/>
    <m/>
    <n v="0"/>
    <n v="0"/>
    <n v="0"/>
    <n v="0"/>
    <n v="0"/>
    <n v="0"/>
    <n v="0"/>
    <n v="0"/>
    <n v="0"/>
    <n v="0"/>
    <n v="0"/>
    <n v="0"/>
    <n v="0"/>
    <n v="0"/>
    <n v="0"/>
    <n v="0"/>
    <s v="MMR012CMP019"/>
    <x v="0"/>
    <m/>
  </r>
  <r>
    <n v="16.2"/>
    <x v="1"/>
    <x v="52"/>
    <x v="1"/>
    <s v="DRC"/>
    <x v="0"/>
    <x v="0"/>
    <s v="Ohn Taw Chay"/>
    <m/>
    <n v="80"/>
    <n v="439"/>
    <m/>
    <m/>
    <m/>
    <m/>
    <m/>
    <m/>
    <m/>
    <m/>
    <m/>
    <m/>
    <n v="560"/>
    <m/>
    <m/>
    <m/>
    <n v="240"/>
    <n v="80"/>
    <m/>
    <m/>
    <n v="0"/>
    <n v="0"/>
    <n v="0"/>
    <n v="0"/>
    <n v="0"/>
    <n v="0"/>
    <n v="0"/>
    <n v="0"/>
    <n v="0"/>
    <n v="0"/>
    <n v="0"/>
    <n v="0"/>
    <n v="0"/>
    <n v="0"/>
    <n v="0"/>
    <n v="0"/>
    <s v="MMR012CMP098"/>
    <x v="0"/>
    <m/>
  </r>
  <r>
    <n v="16.2"/>
    <x v="1"/>
    <x v="52"/>
    <x v="0"/>
    <s v="DRC"/>
    <x v="0"/>
    <x v="0"/>
    <s v="Ohn Taw Chay"/>
    <m/>
    <n v="80"/>
    <n v="439"/>
    <m/>
    <m/>
    <m/>
    <n v="80"/>
    <n v="160"/>
    <n v="80"/>
    <m/>
    <m/>
    <m/>
    <n v="400"/>
    <m/>
    <m/>
    <m/>
    <m/>
    <m/>
    <m/>
    <m/>
    <m/>
    <n v="0"/>
    <n v="0"/>
    <n v="0"/>
    <n v="0"/>
    <n v="0"/>
    <n v="0"/>
    <n v="0"/>
    <n v="0"/>
    <n v="0"/>
    <n v="0"/>
    <n v="0"/>
    <n v="0"/>
    <n v="0"/>
    <n v="0"/>
    <n v="0"/>
    <n v="0"/>
    <s v="MMR012CMP098"/>
    <x v="0"/>
    <m/>
  </r>
  <r>
    <n v="16.7"/>
    <x v="1"/>
    <x v="53"/>
    <x v="0"/>
    <s v="LWF"/>
    <x v="0"/>
    <x v="0"/>
    <s v="Ohn Taw Gyi (South)"/>
    <m/>
    <n v="2222"/>
    <n v="12221"/>
    <m/>
    <m/>
    <n v="4444"/>
    <m/>
    <n v="4444"/>
    <n v="2222"/>
    <m/>
    <m/>
    <m/>
    <n v="11110"/>
    <m/>
    <m/>
    <m/>
    <m/>
    <m/>
    <m/>
    <m/>
    <m/>
    <n v="0"/>
    <n v="0"/>
    <n v="0"/>
    <n v="0"/>
    <n v="0"/>
    <n v="0"/>
    <n v="0"/>
    <n v="0"/>
    <n v="0"/>
    <n v="0"/>
    <n v="0"/>
    <n v="0"/>
    <n v="0"/>
    <n v="0"/>
    <n v="0"/>
    <n v="0"/>
    <s v="MMR012CMP116"/>
    <x v="0"/>
    <m/>
  </r>
  <r>
    <n v="16.733333333333334"/>
    <x v="1"/>
    <x v="54"/>
    <x v="11"/>
    <s v="LWF"/>
    <x v="0"/>
    <x v="1"/>
    <s v="Nget Chaung 2"/>
    <m/>
    <n v="856"/>
    <n v="4708"/>
    <m/>
    <m/>
    <m/>
    <n v="856"/>
    <m/>
    <m/>
    <m/>
    <m/>
    <m/>
    <m/>
    <m/>
    <m/>
    <m/>
    <m/>
    <m/>
    <m/>
    <m/>
    <m/>
    <n v="0"/>
    <n v="0"/>
    <n v="0"/>
    <n v="0"/>
    <n v="0"/>
    <n v="0"/>
    <n v="0"/>
    <n v="0"/>
    <n v="0"/>
    <n v="0"/>
    <n v="0"/>
    <n v="0"/>
    <n v="0"/>
    <n v="0"/>
    <n v="0"/>
    <n v="0"/>
    <s v="MMR012CMP017"/>
    <x v="0"/>
    <m/>
  </r>
  <r>
    <n v="16.733333333333334"/>
    <x v="1"/>
    <x v="54"/>
    <x v="11"/>
    <s v="LWF"/>
    <x v="0"/>
    <x v="1"/>
    <s v="Nget Chaung 1"/>
    <m/>
    <n v="928"/>
    <n v="4380"/>
    <m/>
    <m/>
    <m/>
    <n v="928"/>
    <m/>
    <m/>
    <m/>
    <m/>
    <m/>
    <m/>
    <m/>
    <m/>
    <m/>
    <m/>
    <m/>
    <m/>
    <m/>
    <m/>
    <n v="0"/>
    <n v="0"/>
    <n v="0"/>
    <n v="0"/>
    <n v="0"/>
    <n v="0"/>
    <n v="0"/>
    <n v="0"/>
    <n v="0"/>
    <n v="0"/>
    <n v="0"/>
    <n v="0"/>
    <n v="0"/>
    <n v="0"/>
    <n v="0"/>
    <n v="0"/>
    <s v="MMR012CMP017"/>
    <x v="0"/>
    <m/>
  </r>
  <r>
    <n v="16.766666666666666"/>
    <x v="1"/>
    <x v="55"/>
    <x v="5"/>
    <s v="SI"/>
    <x v="0"/>
    <x v="0"/>
    <s v="Thae Chaung"/>
    <m/>
    <n v="1137"/>
    <n v="6253"/>
    <m/>
    <n v="1137"/>
    <m/>
    <m/>
    <m/>
    <m/>
    <m/>
    <m/>
    <m/>
    <m/>
    <m/>
    <m/>
    <m/>
    <m/>
    <m/>
    <m/>
    <m/>
    <m/>
    <n v="0"/>
    <n v="0"/>
    <n v="0"/>
    <n v="0"/>
    <n v="0"/>
    <n v="0"/>
    <n v="0"/>
    <n v="0"/>
    <n v="0"/>
    <n v="0"/>
    <n v="0"/>
    <n v="0"/>
    <n v="0"/>
    <n v="0"/>
    <n v="0"/>
    <n v="0"/>
    <s v="MMR012CMP046"/>
    <x v="0"/>
    <m/>
  </r>
  <r>
    <n v="16.866666666666667"/>
    <x v="1"/>
    <x v="56"/>
    <x v="0"/>
    <s v="LWF"/>
    <x v="0"/>
    <x v="0"/>
    <s v="Basare"/>
    <m/>
    <n v="368"/>
    <n v="2024"/>
    <m/>
    <m/>
    <m/>
    <n v="368"/>
    <m/>
    <m/>
    <m/>
    <m/>
    <m/>
    <m/>
    <m/>
    <m/>
    <m/>
    <m/>
    <m/>
    <m/>
    <m/>
    <m/>
    <n v="0"/>
    <n v="0"/>
    <n v="0"/>
    <n v="0"/>
    <n v="0"/>
    <n v="0"/>
    <n v="0"/>
    <n v="0"/>
    <n v="0"/>
    <n v="0"/>
    <n v="0"/>
    <n v="0"/>
    <n v="0"/>
    <n v="0"/>
    <n v="0"/>
    <n v="0"/>
    <s v="MMR012CMP039"/>
    <x v="0"/>
    <s v="Cyclone Mora Response"/>
  </r>
  <r>
    <n v="16.866666666666667"/>
    <x v="1"/>
    <x v="56"/>
    <x v="0"/>
    <s v="LWF"/>
    <x v="0"/>
    <x v="0"/>
    <s v="Khaung Doke Khar "/>
    <m/>
    <n v="336"/>
    <n v="1848"/>
    <m/>
    <m/>
    <m/>
    <n v="336"/>
    <m/>
    <m/>
    <m/>
    <m/>
    <m/>
    <m/>
    <m/>
    <m/>
    <m/>
    <m/>
    <m/>
    <m/>
    <m/>
    <m/>
    <n v="0"/>
    <n v="0"/>
    <n v="0"/>
    <n v="0"/>
    <n v="0"/>
    <n v="0"/>
    <n v="0"/>
    <n v="0"/>
    <n v="0"/>
    <n v="0"/>
    <n v="0"/>
    <n v="0"/>
    <n v="0"/>
    <n v="0"/>
    <n v="0"/>
    <n v="0"/>
    <s v=""/>
    <x v="1"/>
    <s v="Cyclone Mora Response"/>
  </r>
  <r>
    <n v="16.899999999999999"/>
    <x v="1"/>
    <x v="57"/>
    <x v="0"/>
    <s v="LWF"/>
    <x v="0"/>
    <x v="0"/>
    <s v="Khaung Doke Khar "/>
    <m/>
    <n v="176"/>
    <n v="968"/>
    <m/>
    <m/>
    <m/>
    <n v="176"/>
    <m/>
    <m/>
    <m/>
    <m/>
    <m/>
    <m/>
    <m/>
    <m/>
    <m/>
    <m/>
    <m/>
    <m/>
    <m/>
    <m/>
    <n v="0"/>
    <n v="0"/>
    <n v="0"/>
    <n v="0"/>
    <n v="0"/>
    <n v="0"/>
    <n v="0"/>
    <n v="0"/>
    <n v="0"/>
    <n v="0"/>
    <n v="0"/>
    <n v="0"/>
    <n v="0"/>
    <n v="0"/>
    <n v="0"/>
    <n v="0"/>
    <s v=""/>
    <x v="1"/>
    <s v="Cyclone Mora Response"/>
  </r>
  <r>
    <n v="17.033333333333335"/>
    <x v="1"/>
    <x v="58"/>
    <x v="0"/>
    <s v="MoE"/>
    <x v="0"/>
    <x v="0"/>
    <m/>
    <m/>
    <s v="N/A"/>
    <s v="N/A"/>
    <m/>
    <m/>
    <m/>
    <n v="50"/>
    <m/>
    <m/>
    <m/>
    <m/>
    <m/>
    <m/>
    <m/>
    <m/>
    <m/>
    <m/>
    <m/>
    <m/>
    <m/>
    <m/>
    <n v="0"/>
    <n v="0"/>
    <n v="0"/>
    <n v="0"/>
    <n v="0"/>
    <n v="0"/>
    <n v="0"/>
    <n v="0"/>
    <n v="0"/>
    <n v="0"/>
    <n v="0"/>
    <n v="0"/>
    <n v="0"/>
    <n v="0"/>
    <n v="0"/>
    <n v="0"/>
    <s v=""/>
    <x v="1"/>
    <s v="Provided in Schools (Mora Repsonse)"/>
  </r>
  <r>
    <n v="17.033333333333335"/>
    <x v="1"/>
    <x v="58"/>
    <x v="0"/>
    <s v="DRC"/>
    <x v="0"/>
    <x v="0"/>
    <s v="Ohn Taw Chay"/>
    <m/>
    <n v="267"/>
    <n v="1468"/>
    <m/>
    <m/>
    <n v="267"/>
    <n v="267"/>
    <m/>
    <n v="267"/>
    <m/>
    <m/>
    <n v="267"/>
    <n v="801"/>
    <m/>
    <m/>
    <m/>
    <m/>
    <m/>
    <m/>
    <m/>
    <m/>
    <n v="0"/>
    <n v="0"/>
    <n v="0"/>
    <n v="0"/>
    <n v="0"/>
    <n v="0"/>
    <n v="0"/>
    <n v="0"/>
    <n v="0"/>
    <n v="0"/>
    <n v="0"/>
    <n v="0"/>
    <n v="0"/>
    <n v="0"/>
    <n v="0"/>
    <n v="0"/>
    <s v="MMR012CMP098"/>
    <x v="0"/>
    <s v="Cyclone Mora Response"/>
  </r>
  <r>
    <n v="17.233333333333334"/>
    <x v="1"/>
    <x v="59"/>
    <x v="8"/>
    <s v="SCI"/>
    <x v="0"/>
    <x v="0"/>
    <s v="Ohn Taw Gyi (North)"/>
    <m/>
    <n v="2717"/>
    <n v="13793"/>
    <m/>
    <n v="2717"/>
    <m/>
    <m/>
    <m/>
    <m/>
    <m/>
    <m/>
    <m/>
    <m/>
    <m/>
    <m/>
    <m/>
    <m/>
    <m/>
    <m/>
    <m/>
    <m/>
    <n v="0"/>
    <n v="0"/>
    <n v="0"/>
    <n v="0"/>
    <n v="0"/>
    <n v="0"/>
    <n v="0"/>
    <n v="0"/>
    <n v="0"/>
    <n v="0"/>
    <n v="0"/>
    <n v="0"/>
    <n v="0"/>
    <n v="0"/>
    <n v="0"/>
    <n v="0"/>
    <s v="MMR012CMP115"/>
    <x v="0"/>
    <m/>
  </r>
  <r>
    <n v="17.233333333333334"/>
    <x v="1"/>
    <x v="59"/>
    <x v="8"/>
    <s v="SCI"/>
    <x v="0"/>
    <x v="0"/>
    <s v="Maw Ti Ngar"/>
    <m/>
    <n v="656"/>
    <n v="3492"/>
    <m/>
    <n v="656"/>
    <m/>
    <m/>
    <m/>
    <m/>
    <m/>
    <m/>
    <m/>
    <m/>
    <m/>
    <m/>
    <m/>
    <m/>
    <m/>
    <m/>
    <m/>
    <m/>
    <n v="0"/>
    <n v="0"/>
    <n v="0"/>
    <n v="0"/>
    <n v="0"/>
    <n v="0"/>
    <n v="0"/>
    <n v="0"/>
    <n v="0"/>
    <n v="0"/>
    <n v="0"/>
    <n v="0"/>
    <n v="0"/>
    <n v="0"/>
    <n v="0"/>
    <n v="0"/>
    <s v="MMR012CMP092"/>
    <x v="0"/>
    <m/>
  </r>
  <r>
    <n v="17.233333333333334"/>
    <x v="1"/>
    <x v="59"/>
    <x v="8"/>
    <s v="SCI"/>
    <x v="0"/>
    <x v="0"/>
    <s v="Basare"/>
    <m/>
    <n v="397"/>
    <n v="2196"/>
    <m/>
    <n v="397"/>
    <m/>
    <m/>
    <m/>
    <m/>
    <m/>
    <m/>
    <m/>
    <m/>
    <m/>
    <m/>
    <m/>
    <m/>
    <m/>
    <m/>
    <m/>
    <m/>
    <n v="0"/>
    <n v="0"/>
    <n v="0"/>
    <n v="0"/>
    <n v="0"/>
    <n v="0"/>
    <n v="0"/>
    <n v="0"/>
    <n v="0"/>
    <n v="0"/>
    <n v="0"/>
    <n v="0"/>
    <n v="0"/>
    <n v="0"/>
    <n v="0"/>
    <n v="0"/>
    <s v="MMR012CMP039"/>
    <x v="0"/>
    <m/>
  </r>
  <r>
    <n v="17.233333333333334"/>
    <x v="1"/>
    <x v="59"/>
    <x v="1"/>
    <s v="DRC"/>
    <x v="0"/>
    <x v="0"/>
    <s v="Ohn Taw Gyi (North)"/>
    <m/>
    <n v="1825"/>
    <n v="10038"/>
    <m/>
    <m/>
    <m/>
    <m/>
    <m/>
    <m/>
    <m/>
    <m/>
    <m/>
    <m/>
    <m/>
    <m/>
    <m/>
    <m/>
    <m/>
    <m/>
    <n v="2770"/>
    <m/>
    <n v="0"/>
    <n v="0"/>
    <n v="0"/>
    <n v="0"/>
    <n v="0"/>
    <n v="0"/>
    <n v="0"/>
    <n v="0"/>
    <n v="0"/>
    <n v="0"/>
    <n v="0"/>
    <n v="0"/>
    <n v="0"/>
    <n v="0"/>
    <n v="0"/>
    <n v="0"/>
    <s v="MMR012CMP115"/>
    <x v="0"/>
    <m/>
  </r>
  <r>
    <n v="17.233333333333334"/>
    <x v="1"/>
    <x v="59"/>
    <x v="1"/>
    <s v="DRC"/>
    <x v="0"/>
    <x v="0"/>
    <s v="Dar Pai"/>
    <m/>
    <n v="319"/>
    <n v="1755"/>
    <m/>
    <m/>
    <m/>
    <m/>
    <m/>
    <m/>
    <m/>
    <m/>
    <m/>
    <m/>
    <m/>
    <m/>
    <m/>
    <m/>
    <m/>
    <m/>
    <n v="957"/>
    <m/>
    <n v="0"/>
    <n v="0"/>
    <n v="0"/>
    <n v="0"/>
    <n v="0"/>
    <n v="0"/>
    <n v="0"/>
    <n v="0"/>
    <n v="0"/>
    <n v="0"/>
    <n v="0"/>
    <n v="0"/>
    <n v="0"/>
    <n v="0"/>
    <n v="0"/>
    <n v="0"/>
    <s v="MMR012CMP041"/>
    <x v="0"/>
    <m/>
  </r>
  <r>
    <n v="17.233333333333334"/>
    <x v="1"/>
    <x v="59"/>
    <x v="1"/>
    <s v="DRC"/>
    <x v="0"/>
    <x v="0"/>
    <s v="Say Tha Mar Gyi"/>
    <m/>
    <n v="164"/>
    <n v="902"/>
    <m/>
    <m/>
    <m/>
    <m/>
    <m/>
    <m/>
    <m/>
    <m/>
    <m/>
    <m/>
    <m/>
    <m/>
    <m/>
    <m/>
    <m/>
    <m/>
    <n v="492"/>
    <m/>
    <n v="0"/>
    <n v="0"/>
    <n v="0"/>
    <n v="0"/>
    <n v="0"/>
    <n v="0"/>
    <n v="0"/>
    <n v="0"/>
    <n v="0"/>
    <n v="0"/>
    <n v="0"/>
    <n v="0"/>
    <n v="0"/>
    <n v="0"/>
    <n v="0"/>
    <n v="0"/>
    <s v="MMR012CMP045"/>
    <x v="0"/>
    <m/>
  </r>
  <r>
    <n v="17.233333333333334"/>
    <x v="1"/>
    <x v="59"/>
    <x v="1"/>
    <s v="DRC"/>
    <x v="0"/>
    <x v="0"/>
    <s v="Baw Du Pha 2"/>
    <m/>
    <n v="507"/>
    <n v="2779"/>
    <m/>
    <m/>
    <m/>
    <m/>
    <m/>
    <m/>
    <m/>
    <m/>
    <m/>
    <m/>
    <m/>
    <m/>
    <m/>
    <m/>
    <m/>
    <m/>
    <n v="1521"/>
    <m/>
    <n v="0"/>
    <n v="0"/>
    <n v="0"/>
    <n v="0"/>
    <n v="0"/>
    <n v="0"/>
    <n v="0"/>
    <n v="0"/>
    <n v="0"/>
    <n v="0"/>
    <n v="0"/>
    <n v="0"/>
    <n v="0"/>
    <n v="0"/>
    <n v="0"/>
    <n v="0"/>
    <s v="MMR012CMP114"/>
    <x v="0"/>
    <m/>
  </r>
  <r>
    <n v="17.233333333333334"/>
    <x v="1"/>
    <x v="59"/>
    <x v="1"/>
    <s v="DRC"/>
    <x v="0"/>
    <x v="0"/>
    <s v="Baw Du Pha 1"/>
    <m/>
    <n v="347"/>
    <n v="1909"/>
    <m/>
    <m/>
    <m/>
    <m/>
    <m/>
    <m/>
    <m/>
    <m/>
    <m/>
    <m/>
    <m/>
    <m/>
    <m/>
    <m/>
    <m/>
    <m/>
    <n v="1041"/>
    <m/>
    <n v="0"/>
    <n v="0"/>
    <n v="0"/>
    <n v="0"/>
    <n v="0"/>
    <n v="0"/>
    <n v="0"/>
    <n v="0"/>
    <n v="0"/>
    <n v="0"/>
    <n v="0"/>
    <n v="0"/>
    <n v="0"/>
    <n v="0"/>
    <n v="0"/>
    <n v="0"/>
    <s v="MMR012CMP113"/>
    <x v="0"/>
    <m/>
  </r>
  <r>
    <n v="17.566666666666666"/>
    <x v="1"/>
    <x v="60"/>
    <x v="0"/>
    <s v="DRC"/>
    <x v="0"/>
    <x v="0"/>
    <s v="Ohn Taw Gyi (North)"/>
    <m/>
    <n v="521"/>
    <n v="2865"/>
    <m/>
    <m/>
    <n v="521"/>
    <n v="521"/>
    <m/>
    <n v="521"/>
    <m/>
    <m/>
    <n v="521"/>
    <n v="1563"/>
    <m/>
    <m/>
    <m/>
    <m/>
    <m/>
    <m/>
    <m/>
    <m/>
    <n v="0"/>
    <n v="0"/>
    <n v="0"/>
    <n v="0"/>
    <n v="0"/>
    <n v="0"/>
    <n v="0"/>
    <n v="0"/>
    <n v="0"/>
    <n v="0"/>
    <n v="0"/>
    <n v="0"/>
    <n v="0"/>
    <n v="0"/>
    <n v="0"/>
    <n v="0"/>
    <s v="MMR012CMP115"/>
    <x v="0"/>
    <s v="Cyclone Mora Response"/>
  </r>
  <r>
    <n v="17.733333333333334"/>
    <x v="1"/>
    <x v="61"/>
    <x v="0"/>
    <s v="DRC"/>
    <x v="0"/>
    <x v="0"/>
    <s v="Dar Pai"/>
    <m/>
    <n v="99"/>
    <n v="544"/>
    <m/>
    <m/>
    <n v="99"/>
    <n v="99"/>
    <m/>
    <n v="99"/>
    <m/>
    <m/>
    <n v="99"/>
    <n v="297"/>
    <m/>
    <m/>
    <m/>
    <m/>
    <m/>
    <m/>
    <m/>
    <m/>
    <n v="0"/>
    <n v="0"/>
    <n v="0"/>
    <n v="0"/>
    <n v="0"/>
    <n v="0"/>
    <n v="0"/>
    <n v="0"/>
    <n v="0"/>
    <n v="0"/>
    <n v="0"/>
    <n v="0"/>
    <n v="0"/>
    <n v="0"/>
    <n v="0"/>
    <n v="0"/>
    <s v="MMR012CMP041"/>
    <x v="0"/>
    <s v="Cyclone Mora Response"/>
  </r>
  <r>
    <n v="17.833333333333332"/>
    <x v="1"/>
    <x v="62"/>
    <x v="12"/>
    <s v="CDN"/>
    <x v="0"/>
    <x v="0"/>
    <s v="Khaung Doke Khar "/>
    <m/>
    <n v="99"/>
    <n v="544"/>
    <m/>
    <m/>
    <m/>
    <m/>
    <m/>
    <m/>
    <m/>
    <n v="399"/>
    <m/>
    <m/>
    <m/>
    <m/>
    <m/>
    <m/>
    <m/>
    <m/>
    <m/>
    <m/>
    <n v="0"/>
    <n v="0"/>
    <n v="0"/>
    <n v="0"/>
    <n v="0"/>
    <n v="0"/>
    <n v="0"/>
    <n v="0"/>
    <n v="0"/>
    <n v="0"/>
    <n v="0"/>
    <n v="0"/>
    <n v="0"/>
    <n v="0"/>
    <n v="0"/>
    <n v="0"/>
    <s v=""/>
    <x v="1"/>
    <m/>
  </r>
  <r>
    <n v="17.833333333333332"/>
    <x v="1"/>
    <x v="62"/>
    <x v="0"/>
    <s v="LWF"/>
    <x v="0"/>
    <x v="0"/>
    <s v="Thae Chaung"/>
    <m/>
    <n v="490"/>
    <n v="2695"/>
    <m/>
    <m/>
    <n v="490"/>
    <n v="371"/>
    <m/>
    <m/>
    <m/>
    <m/>
    <m/>
    <n v="1470"/>
    <m/>
    <m/>
    <m/>
    <m/>
    <m/>
    <m/>
    <m/>
    <m/>
    <n v="0"/>
    <n v="0"/>
    <n v="0"/>
    <n v="0"/>
    <n v="0"/>
    <n v="0"/>
    <n v="0"/>
    <n v="0"/>
    <n v="0"/>
    <n v="0"/>
    <n v="0"/>
    <n v="0"/>
    <n v="0"/>
    <n v="0"/>
    <n v="0"/>
    <n v="0"/>
    <s v="MMR012CMP046"/>
    <x v="0"/>
    <s v="Cyclone Mora Response"/>
  </r>
  <r>
    <n v="17.966666666666665"/>
    <x v="1"/>
    <x v="63"/>
    <x v="0"/>
    <s v="LWF"/>
    <x v="0"/>
    <x v="0"/>
    <s v="Khaung Doke Khar "/>
    <m/>
    <n v="40"/>
    <n v="220"/>
    <m/>
    <m/>
    <n v="40"/>
    <n v="40"/>
    <m/>
    <m/>
    <m/>
    <m/>
    <m/>
    <n v="120"/>
    <m/>
    <m/>
    <m/>
    <m/>
    <m/>
    <m/>
    <m/>
    <m/>
    <n v="0"/>
    <n v="0"/>
    <n v="0"/>
    <n v="0"/>
    <n v="0"/>
    <n v="0"/>
    <n v="0"/>
    <n v="0"/>
    <n v="0"/>
    <n v="0"/>
    <n v="0"/>
    <n v="0"/>
    <n v="0"/>
    <n v="0"/>
    <n v="0"/>
    <n v="0"/>
    <s v=""/>
    <x v="1"/>
    <s v="Cyclone Mora Response"/>
  </r>
  <r>
    <n v="18"/>
    <x v="1"/>
    <x v="64"/>
    <x v="3"/>
    <s v="NRC"/>
    <x v="0"/>
    <x v="0"/>
    <s v="Maw Ti Ngar"/>
    <m/>
    <n v="371"/>
    <n v="2226"/>
    <m/>
    <m/>
    <m/>
    <n v="371"/>
    <m/>
    <m/>
    <m/>
    <m/>
    <m/>
    <m/>
    <m/>
    <m/>
    <m/>
    <m/>
    <m/>
    <m/>
    <m/>
    <m/>
    <n v="0"/>
    <n v="0"/>
    <n v="0"/>
    <n v="0"/>
    <n v="0"/>
    <n v="0"/>
    <n v="0"/>
    <n v="0"/>
    <n v="0"/>
    <n v="0"/>
    <n v="0"/>
    <n v="0"/>
    <n v="0"/>
    <n v="0"/>
    <n v="0"/>
    <n v="0"/>
    <s v="MMR012CMP092"/>
    <x v="0"/>
    <m/>
  </r>
  <r>
    <n v="18.033333333333335"/>
    <x v="1"/>
    <x v="65"/>
    <x v="3"/>
    <s v="NRC"/>
    <x v="0"/>
    <x v="0"/>
    <s v="Maw Ti Ngar"/>
    <m/>
    <n v="351"/>
    <n v="2154"/>
    <m/>
    <m/>
    <m/>
    <n v="351"/>
    <m/>
    <m/>
    <m/>
    <m/>
    <m/>
    <m/>
    <m/>
    <m/>
    <m/>
    <m/>
    <m/>
    <m/>
    <m/>
    <m/>
    <n v="0"/>
    <n v="0"/>
    <n v="0"/>
    <n v="0"/>
    <n v="0"/>
    <n v="0"/>
    <n v="0"/>
    <n v="0"/>
    <n v="0"/>
    <n v="0"/>
    <n v="0"/>
    <n v="0"/>
    <n v="0"/>
    <n v="0"/>
    <n v="0"/>
    <n v="0"/>
    <s v="MMR012CMP092"/>
    <x v="0"/>
    <m/>
  </r>
  <r>
    <n v="18.033333333333335"/>
    <x v="1"/>
    <x v="65"/>
    <x v="0"/>
    <s v="NRC"/>
    <x v="0"/>
    <x v="0"/>
    <s v="Maw Ti Ngar"/>
    <m/>
    <n v="96"/>
    <n v="528"/>
    <m/>
    <m/>
    <m/>
    <n v="96"/>
    <m/>
    <m/>
    <m/>
    <m/>
    <m/>
    <m/>
    <m/>
    <m/>
    <m/>
    <m/>
    <m/>
    <m/>
    <m/>
    <m/>
    <n v="0"/>
    <n v="0"/>
    <n v="0"/>
    <n v="0"/>
    <n v="0"/>
    <n v="0"/>
    <n v="0"/>
    <n v="0"/>
    <n v="0"/>
    <n v="0"/>
    <n v="0"/>
    <n v="0"/>
    <n v="0"/>
    <n v="0"/>
    <n v="0"/>
    <n v="0"/>
    <s v="MMR012CMP092"/>
    <x v="0"/>
    <s v="Cyclone Mora Response"/>
  </r>
  <r>
    <n v="18.2"/>
    <x v="1"/>
    <x v="66"/>
    <x v="0"/>
    <s v="LWF"/>
    <x v="0"/>
    <x v="0"/>
    <s v="Thae Chaung"/>
    <m/>
    <n v="49"/>
    <n v="269"/>
    <m/>
    <m/>
    <m/>
    <n v="62"/>
    <m/>
    <m/>
    <m/>
    <m/>
    <m/>
    <m/>
    <m/>
    <m/>
    <m/>
    <m/>
    <m/>
    <m/>
    <m/>
    <m/>
    <n v="0"/>
    <n v="0"/>
    <n v="0"/>
    <n v="0"/>
    <n v="0"/>
    <n v="0"/>
    <n v="0"/>
    <n v="0"/>
    <n v="0"/>
    <n v="0"/>
    <n v="0"/>
    <n v="0"/>
    <n v="0"/>
    <n v="0"/>
    <n v="0"/>
    <n v="0"/>
    <s v="MMR012CMP046"/>
    <x v="0"/>
    <s v="For the fire victims (Shops&amp;HHs)"/>
  </r>
  <r>
    <n v="18.233333333333334"/>
    <x v="1"/>
    <x v="67"/>
    <x v="0"/>
    <s v="UNHCR"/>
    <x v="0"/>
    <x v="3"/>
    <s v="Ah Htet Nan Yar"/>
    <m/>
    <n v="251"/>
    <n v="1380"/>
    <m/>
    <m/>
    <m/>
    <n v="502"/>
    <m/>
    <m/>
    <m/>
    <m/>
    <m/>
    <m/>
    <m/>
    <m/>
    <m/>
    <m/>
    <m/>
    <m/>
    <m/>
    <m/>
    <n v="0"/>
    <n v="0"/>
    <n v="0"/>
    <n v="0"/>
    <n v="0"/>
    <n v="0"/>
    <n v="0"/>
    <n v="0"/>
    <n v="0"/>
    <n v="0"/>
    <n v="0"/>
    <n v="0"/>
    <n v="0"/>
    <n v="0"/>
    <n v="0"/>
    <n v="0"/>
    <s v=""/>
    <x v="1"/>
    <s v="Cyclone Mora Response"/>
  </r>
  <r>
    <n v="18.433333333333334"/>
    <x v="1"/>
    <x v="68"/>
    <x v="5"/>
    <s v="SI"/>
    <x v="0"/>
    <x v="0"/>
    <s v="Khaung Doke Khar "/>
    <m/>
    <n v="400"/>
    <n v="2200"/>
    <m/>
    <n v="400"/>
    <m/>
    <m/>
    <m/>
    <m/>
    <m/>
    <m/>
    <m/>
    <m/>
    <m/>
    <m/>
    <m/>
    <m/>
    <m/>
    <m/>
    <m/>
    <m/>
    <n v="0"/>
    <n v="0"/>
    <n v="0"/>
    <n v="0"/>
    <n v="0"/>
    <n v="0"/>
    <n v="0"/>
    <n v="0"/>
    <n v="0"/>
    <n v="0"/>
    <n v="0"/>
    <n v="0"/>
    <n v="0"/>
    <n v="0"/>
    <n v="0"/>
    <n v="0"/>
    <s v=""/>
    <x v="1"/>
    <m/>
  </r>
  <r>
    <n v="18.433333333333334"/>
    <x v="1"/>
    <x v="68"/>
    <x v="0"/>
    <s v="LWF"/>
    <x v="0"/>
    <x v="0"/>
    <s v="Khaung Doke Khar "/>
    <m/>
    <n v="112"/>
    <n v="616"/>
    <m/>
    <m/>
    <m/>
    <n v="112"/>
    <m/>
    <m/>
    <m/>
    <m/>
    <m/>
    <m/>
    <m/>
    <m/>
    <m/>
    <m/>
    <m/>
    <m/>
    <m/>
    <m/>
    <n v="0"/>
    <n v="0"/>
    <n v="0"/>
    <n v="0"/>
    <n v="0"/>
    <n v="0"/>
    <n v="0"/>
    <n v="0"/>
    <n v="0"/>
    <n v="0"/>
    <n v="0"/>
    <n v="0"/>
    <n v="0"/>
    <n v="0"/>
    <n v="0"/>
    <n v="0"/>
    <s v=""/>
    <x v="1"/>
    <m/>
  </r>
  <r>
    <n v="18.466666666666665"/>
    <x v="1"/>
    <x v="69"/>
    <x v="12"/>
    <s v="CDN"/>
    <x v="0"/>
    <x v="0"/>
    <s v="Ohn Taw Chay"/>
    <m/>
    <n v="635"/>
    <n v="3492.5"/>
    <m/>
    <m/>
    <m/>
    <m/>
    <m/>
    <m/>
    <m/>
    <n v="635"/>
    <m/>
    <m/>
    <m/>
    <m/>
    <m/>
    <m/>
    <m/>
    <m/>
    <m/>
    <m/>
    <n v="0"/>
    <n v="0"/>
    <n v="0"/>
    <n v="0"/>
    <n v="0"/>
    <n v="0"/>
    <n v="0"/>
    <n v="0"/>
    <n v="0"/>
    <n v="0"/>
    <n v="0"/>
    <n v="0"/>
    <n v="0"/>
    <n v="0"/>
    <n v="0"/>
    <n v="0"/>
    <s v="MMR012CMP098"/>
    <x v="0"/>
    <m/>
  </r>
  <r>
    <n v="18.533333333333335"/>
    <x v="1"/>
    <x v="70"/>
    <x v="8"/>
    <s v="SCI"/>
    <x v="0"/>
    <x v="0"/>
    <s v="Basare"/>
    <m/>
    <n v="397"/>
    <n v="2183.5"/>
    <m/>
    <n v="397"/>
    <m/>
    <m/>
    <m/>
    <m/>
    <m/>
    <m/>
    <m/>
    <m/>
    <m/>
    <m/>
    <m/>
    <m/>
    <m/>
    <m/>
    <m/>
    <m/>
    <n v="0"/>
    <n v="0"/>
    <n v="0"/>
    <n v="0"/>
    <n v="0"/>
    <n v="0"/>
    <n v="0"/>
    <n v="0"/>
    <n v="0"/>
    <n v="0"/>
    <n v="0"/>
    <n v="0"/>
    <n v="0"/>
    <n v="0"/>
    <n v="0"/>
    <n v="0"/>
    <s v="MMR012CMP039"/>
    <x v="0"/>
    <m/>
  </r>
  <r>
    <n v="18.566666666666666"/>
    <x v="1"/>
    <x v="71"/>
    <x v="3"/>
    <s v="NRC"/>
    <x v="0"/>
    <x v="0"/>
    <s v="Thet Kae Pyin "/>
    <m/>
    <n v="30"/>
    <n v="165"/>
    <n v="30"/>
    <m/>
    <m/>
    <m/>
    <m/>
    <m/>
    <m/>
    <m/>
    <m/>
    <m/>
    <m/>
    <m/>
    <m/>
    <m/>
    <m/>
    <m/>
    <m/>
    <m/>
    <n v="0"/>
    <n v="0"/>
    <n v="0"/>
    <n v="0"/>
    <n v="0"/>
    <n v="0"/>
    <n v="0"/>
    <n v="0"/>
    <n v="0"/>
    <n v="0"/>
    <n v="0"/>
    <n v="0"/>
    <n v="0"/>
    <n v="0"/>
    <n v="0"/>
    <n v="0"/>
    <s v="MMR012CMP048"/>
    <x v="0"/>
    <m/>
  </r>
  <r>
    <n v="18.8"/>
    <x v="1"/>
    <x v="72"/>
    <x v="8"/>
    <s v="SCI"/>
    <x v="0"/>
    <x v="0"/>
    <s v="Maw Ti Ngar"/>
    <m/>
    <n v="656"/>
    <n v="3608"/>
    <m/>
    <n v="656"/>
    <m/>
    <m/>
    <m/>
    <m/>
    <m/>
    <n v="104"/>
    <m/>
    <m/>
    <m/>
    <m/>
    <m/>
    <m/>
    <m/>
    <m/>
    <m/>
    <m/>
    <n v="0"/>
    <n v="0"/>
    <n v="0"/>
    <n v="0"/>
    <n v="0"/>
    <n v="0"/>
    <n v="0"/>
    <n v="0"/>
    <n v="0"/>
    <n v="0"/>
    <n v="0"/>
    <n v="0"/>
    <n v="0"/>
    <n v="0"/>
    <n v="0"/>
    <n v="0"/>
    <s v="MMR012CMP092"/>
    <x v="0"/>
    <m/>
  </r>
  <r>
    <n v="18.933333333333334"/>
    <x v="1"/>
    <x v="73"/>
    <x v="8"/>
    <s v="SCI"/>
    <x v="0"/>
    <x v="0"/>
    <s v="Thet Kae Pyin "/>
    <m/>
    <n v="998"/>
    <n v="5489"/>
    <m/>
    <n v="998"/>
    <m/>
    <m/>
    <m/>
    <m/>
    <m/>
    <m/>
    <m/>
    <m/>
    <m/>
    <m/>
    <m/>
    <m/>
    <m/>
    <m/>
    <m/>
    <m/>
    <n v="0"/>
    <n v="0"/>
    <n v="0"/>
    <n v="0"/>
    <n v="0"/>
    <n v="0"/>
    <n v="0"/>
    <n v="0"/>
    <n v="0"/>
    <n v="0"/>
    <n v="0"/>
    <n v="0"/>
    <n v="0"/>
    <n v="0"/>
    <n v="0"/>
    <n v="0"/>
    <s v="MMR012CMP048"/>
    <x v="0"/>
    <m/>
  </r>
  <r>
    <n v="19.133333333333333"/>
    <x v="1"/>
    <x v="74"/>
    <x v="0"/>
    <s v="UNHCR"/>
    <x v="0"/>
    <x v="4"/>
    <s v="Nidin"/>
    <m/>
    <n v="91"/>
    <n v="500"/>
    <m/>
    <m/>
    <n v="182"/>
    <n v="182"/>
    <n v="182"/>
    <n v="91"/>
    <m/>
    <m/>
    <n v="91"/>
    <n v="455"/>
    <m/>
    <m/>
    <m/>
    <m/>
    <m/>
    <m/>
    <m/>
    <m/>
    <n v="0"/>
    <n v="0"/>
    <n v="0"/>
    <n v="0"/>
    <n v="0"/>
    <n v="0"/>
    <n v="0"/>
    <n v="0"/>
    <n v="0"/>
    <n v="0"/>
    <n v="0"/>
    <n v="0"/>
    <n v="0"/>
    <n v="0"/>
    <n v="0"/>
    <n v="0"/>
    <s v="MMR012CMP023"/>
    <x v="0"/>
    <m/>
  </r>
  <r>
    <n v="19.433333333333334"/>
    <x v="1"/>
    <x v="75"/>
    <x v="0"/>
    <s v="LWF"/>
    <x v="0"/>
    <x v="1"/>
    <s v="Nget Chaung 2"/>
    <m/>
    <n v="148"/>
    <n v="814"/>
    <m/>
    <m/>
    <m/>
    <m/>
    <m/>
    <m/>
    <m/>
    <m/>
    <m/>
    <m/>
    <m/>
    <m/>
    <m/>
    <n v="148"/>
    <m/>
    <m/>
    <m/>
    <m/>
    <n v="0"/>
    <n v="0"/>
    <n v="0"/>
    <n v="0"/>
    <n v="0"/>
    <n v="0"/>
    <n v="0"/>
    <n v="0"/>
    <n v="0"/>
    <n v="0"/>
    <n v="0"/>
    <n v="0"/>
    <n v="0"/>
    <n v="0"/>
    <n v="0"/>
    <n v="0"/>
    <s v="MMR012CMP017"/>
    <x v="0"/>
    <m/>
  </r>
  <r>
    <n v="19.466666666666665"/>
    <x v="1"/>
    <x v="76"/>
    <x v="0"/>
    <s v="LWF"/>
    <x v="0"/>
    <x v="1"/>
    <s v="Ah Nauk Ywe"/>
    <m/>
    <n v="241"/>
    <n v="1325"/>
    <m/>
    <m/>
    <m/>
    <m/>
    <m/>
    <m/>
    <m/>
    <m/>
    <m/>
    <m/>
    <m/>
    <m/>
    <m/>
    <n v="241"/>
    <m/>
    <m/>
    <m/>
    <m/>
    <n v="0"/>
    <n v="0"/>
    <n v="0"/>
    <n v="0"/>
    <n v="0"/>
    <n v="0"/>
    <n v="0"/>
    <n v="0"/>
    <n v="0"/>
    <n v="0"/>
    <n v="0"/>
    <n v="0"/>
    <n v="0"/>
    <n v="0"/>
    <n v="0"/>
    <n v="0"/>
    <s v="MMR012CMP016"/>
    <x v="0"/>
    <m/>
  </r>
  <r>
    <n v="19.933333333333334"/>
    <x v="1"/>
    <x v="77"/>
    <x v="8"/>
    <s v="SCI"/>
    <x v="0"/>
    <x v="0"/>
    <s v="Maw Ti Ngar"/>
    <m/>
    <n v="6"/>
    <n v="33"/>
    <m/>
    <m/>
    <m/>
    <m/>
    <m/>
    <m/>
    <n v="6"/>
    <m/>
    <m/>
    <m/>
    <m/>
    <m/>
    <m/>
    <m/>
    <m/>
    <m/>
    <m/>
    <m/>
    <n v="0"/>
    <n v="0"/>
    <n v="0"/>
    <n v="0"/>
    <n v="0"/>
    <n v="0"/>
    <n v="0"/>
    <n v="0"/>
    <n v="0"/>
    <n v="0"/>
    <n v="0"/>
    <n v="0"/>
    <n v="0"/>
    <n v="0"/>
    <n v="0"/>
    <n v="0"/>
    <s v="MMR012CMP092"/>
    <x v="0"/>
    <m/>
  </r>
  <r>
    <n v="19.966666666666665"/>
    <x v="1"/>
    <x v="78"/>
    <x v="8"/>
    <s v="SCI"/>
    <x v="0"/>
    <x v="0"/>
    <s v="Thet Kae Pyin "/>
    <m/>
    <n v="125"/>
    <n v="625"/>
    <m/>
    <m/>
    <m/>
    <m/>
    <m/>
    <m/>
    <m/>
    <m/>
    <n v="125"/>
    <m/>
    <m/>
    <m/>
    <m/>
    <m/>
    <m/>
    <m/>
    <m/>
    <m/>
    <n v="0"/>
    <n v="0"/>
    <n v="0"/>
    <n v="0"/>
    <n v="0"/>
    <n v="0"/>
    <n v="0"/>
    <n v="0"/>
    <n v="0"/>
    <n v="0"/>
    <n v="0"/>
    <n v="0"/>
    <n v="0"/>
    <n v="0"/>
    <n v="0"/>
    <n v="0"/>
    <s v="MMR012CMP048"/>
    <x v="0"/>
    <m/>
  </r>
  <r>
    <n v="20.066666666666666"/>
    <x v="1"/>
    <x v="79"/>
    <x v="5"/>
    <s v="SI"/>
    <x v="0"/>
    <x v="0"/>
    <s v="Thae Chaung"/>
    <m/>
    <n v="1137"/>
    <n v="6253"/>
    <m/>
    <n v="1137"/>
    <m/>
    <m/>
    <m/>
    <m/>
    <m/>
    <m/>
    <m/>
    <m/>
    <m/>
    <m/>
    <m/>
    <m/>
    <m/>
    <m/>
    <m/>
    <m/>
    <n v="0"/>
    <n v="0"/>
    <n v="0"/>
    <n v="0"/>
    <n v="0"/>
    <n v="0"/>
    <n v="0"/>
    <n v="0"/>
    <n v="0"/>
    <n v="0"/>
    <n v="0"/>
    <n v="0"/>
    <n v="0"/>
    <n v="0"/>
    <n v="0"/>
    <n v="0"/>
    <s v="MMR012CMP046"/>
    <x v="0"/>
    <m/>
  </r>
  <r>
    <n v="20.100000000000001"/>
    <x v="1"/>
    <x v="80"/>
    <x v="5"/>
    <s v="SI"/>
    <x v="0"/>
    <x v="0"/>
    <s v="Khaung Doke Khar "/>
    <m/>
    <n v="400"/>
    <n v="2200"/>
    <m/>
    <n v="400"/>
    <m/>
    <m/>
    <m/>
    <m/>
    <m/>
    <m/>
    <m/>
    <m/>
    <m/>
    <m/>
    <m/>
    <m/>
    <m/>
    <m/>
    <m/>
    <m/>
    <n v="0"/>
    <n v="0"/>
    <n v="0"/>
    <n v="0"/>
    <n v="0"/>
    <n v="0"/>
    <n v="0"/>
    <n v="0"/>
    <n v="0"/>
    <n v="0"/>
    <n v="0"/>
    <n v="0"/>
    <n v="0"/>
    <n v="0"/>
    <n v="0"/>
    <n v="0"/>
    <s v=""/>
    <x v="1"/>
    <m/>
  </r>
  <r>
    <n v="20.133333333333333"/>
    <x v="1"/>
    <x v="81"/>
    <x v="5"/>
    <s v="SI"/>
    <x v="0"/>
    <x v="0"/>
    <s v="Dar Pai"/>
    <m/>
    <n v="2007"/>
    <n v="11038"/>
    <m/>
    <n v="2007"/>
    <m/>
    <m/>
    <m/>
    <m/>
    <m/>
    <m/>
    <m/>
    <m/>
    <m/>
    <m/>
    <m/>
    <m/>
    <m/>
    <m/>
    <m/>
    <m/>
    <n v="0"/>
    <n v="0"/>
    <n v="0"/>
    <n v="0"/>
    <n v="0"/>
    <n v="0"/>
    <n v="0"/>
    <n v="0"/>
    <n v="0"/>
    <n v="0"/>
    <n v="0"/>
    <n v="0"/>
    <n v="0"/>
    <n v="0"/>
    <n v="0"/>
    <n v="0"/>
    <s v="MMR012CMP041"/>
    <x v="0"/>
    <m/>
  </r>
  <r>
    <n v="20.166666666666668"/>
    <x v="1"/>
    <x v="82"/>
    <x v="5"/>
    <s v="SI"/>
    <x v="0"/>
    <x v="0"/>
    <s v="Baw Du Pha 2"/>
    <m/>
    <n v="1236"/>
    <n v="6798"/>
    <m/>
    <n v="1236"/>
    <m/>
    <m/>
    <m/>
    <m/>
    <m/>
    <m/>
    <m/>
    <m/>
    <m/>
    <m/>
    <m/>
    <m/>
    <m/>
    <m/>
    <m/>
    <m/>
    <n v="0"/>
    <n v="0"/>
    <n v="0"/>
    <n v="0"/>
    <n v="0"/>
    <n v="0"/>
    <n v="0"/>
    <n v="0"/>
    <n v="0"/>
    <n v="0"/>
    <n v="0"/>
    <n v="0"/>
    <n v="0"/>
    <n v="0"/>
    <n v="0"/>
    <n v="0"/>
    <s v="MMR012CMP114"/>
    <x v="0"/>
    <m/>
  </r>
  <r>
    <n v="20.2"/>
    <x v="1"/>
    <x v="83"/>
    <x v="5"/>
    <s v="SI"/>
    <x v="0"/>
    <x v="0"/>
    <s v="Baw Du Pha 1"/>
    <m/>
    <n v="1127"/>
    <n v="6198"/>
    <m/>
    <n v="1127"/>
    <m/>
    <m/>
    <m/>
    <m/>
    <m/>
    <m/>
    <m/>
    <m/>
    <m/>
    <m/>
    <m/>
    <m/>
    <m/>
    <m/>
    <m/>
    <m/>
    <n v="0"/>
    <n v="0"/>
    <n v="0"/>
    <n v="0"/>
    <n v="0"/>
    <n v="0"/>
    <n v="0"/>
    <n v="0"/>
    <n v="0"/>
    <n v="0"/>
    <n v="0"/>
    <n v="0"/>
    <n v="0"/>
    <n v="0"/>
    <n v="0"/>
    <n v="0"/>
    <s v="MMR012CMP113"/>
    <x v="0"/>
    <m/>
  </r>
  <r>
    <n v="20.399999999999999"/>
    <x v="1"/>
    <x v="84"/>
    <x v="13"/>
    <s v="MRF"/>
    <x v="0"/>
    <x v="0"/>
    <s v="Ohn Taw Gyi (South)"/>
    <m/>
    <n v="725"/>
    <n v="3987"/>
    <m/>
    <m/>
    <n v="1450"/>
    <m/>
    <n v="1450"/>
    <m/>
    <m/>
    <n v="1450"/>
    <n v="2900"/>
    <m/>
    <n v="2175"/>
    <n v="725"/>
    <m/>
    <m/>
    <m/>
    <m/>
    <m/>
    <m/>
    <n v="0"/>
    <n v="0"/>
    <n v="0"/>
    <n v="0"/>
    <n v="0"/>
    <n v="0"/>
    <n v="0"/>
    <n v="0"/>
    <n v="0"/>
    <n v="0"/>
    <n v="0"/>
    <n v="0"/>
    <n v="0"/>
    <n v="0"/>
    <n v="0"/>
    <n v="0"/>
    <s v="MMR012CMP116"/>
    <x v="0"/>
    <m/>
  </r>
  <r>
    <n v="20.733333333333334"/>
    <x v="1"/>
    <x v="85"/>
    <x v="14"/>
    <s v="RI"/>
    <x v="0"/>
    <x v="2"/>
    <s v="Taung Paw "/>
    <m/>
    <n v="622"/>
    <n v="1771"/>
    <m/>
    <n v="622"/>
    <m/>
    <m/>
    <m/>
    <m/>
    <m/>
    <m/>
    <m/>
    <m/>
    <m/>
    <m/>
    <m/>
    <m/>
    <m/>
    <m/>
    <m/>
    <m/>
    <n v="0"/>
    <n v="0"/>
    <n v="0"/>
    <n v="0"/>
    <n v="0"/>
    <n v="0"/>
    <n v="0"/>
    <n v="0"/>
    <n v="0"/>
    <n v="0"/>
    <n v="0"/>
    <n v="0"/>
    <n v="0"/>
    <n v="0"/>
    <n v="0"/>
    <n v="0"/>
    <s v="MMR012CMP014"/>
    <x v="0"/>
    <m/>
  </r>
  <r>
    <n v="20.766666666666666"/>
    <x v="1"/>
    <x v="86"/>
    <x v="0"/>
    <s v="LWF"/>
    <x v="0"/>
    <x v="0"/>
    <s v="Thae Chaung"/>
    <m/>
    <n v="2350"/>
    <n v="12925"/>
    <m/>
    <m/>
    <n v="2380"/>
    <m/>
    <n v="4760"/>
    <m/>
    <m/>
    <m/>
    <m/>
    <n v="11900"/>
    <m/>
    <m/>
    <m/>
    <m/>
    <m/>
    <m/>
    <m/>
    <m/>
    <n v="0"/>
    <n v="0"/>
    <n v="0"/>
    <n v="0"/>
    <n v="0"/>
    <n v="0"/>
    <n v="0"/>
    <n v="0"/>
    <n v="0"/>
    <n v="0"/>
    <n v="0"/>
    <n v="0"/>
    <n v="0"/>
    <n v="0"/>
    <n v="0"/>
    <n v="0"/>
    <s v="MMR012CMP046"/>
    <x v="0"/>
    <m/>
  </r>
  <r>
    <n v="20.8"/>
    <x v="1"/>
    <x v="87"/>
    <x v="0"/>
    <s v="LWF"/>
    <x v="0"/>
    <x v="1"/>
    <s v="Nget Chaung 2"/>
    <m/>
    <n v="856"/>
    <n v="4708"/>
    <m/>
    <m/>
    <n v="856"/>
    <m/>
    <m/>
    <m/>
    <m/>
    <m/>
    <m/>
    <m/>
    <m/>
    <m/>
    <m/>
    <m/>
    <m/>
    <m/>
    <m/>
    <m/>
    <n v="0"/>
    <n v="0"/>
    <n v="0"/>
    <n v="0"/>
    <n v="0"/>
    <n v="0"/>
    <n v="0"/>
    <n v="0"/>
    <n v="0"/>
    <n v="0"/>
    <n v="0"/>
    <n v="0"/>
    <n v="0"/>
    <n v="0"/>
    <n v="0"/>
    <n v="0"/>
    <s v="MMR012CMP017"/>
    <x v="0"/>
    <m/>
  </r>
  <r>
    <n v="20.8"/>
    <x v="1"/>
    <x v="87"/>
    <x v="0"/>
    <s v="LWF"/>
    <x v="0"/>
    <x v="1"/>
    <s v="Ah Nauk Ywe"/>
    <m/>
    <n v="1238"/>
    <n v="6809"/>
    <m/>
    <m/>
    <n v="1238"/>
    <m/>
    <m/>
    <m/>
    <m/>
    <m/>
    <m/>
    <m/>
    <m/>
    <m/>
    <m/>
    <m/>
    <m/>
    <m/>
    <m/>
    <m/>
    <n v="0"/>
    <n v="0"/>
    <n v="0"/>
    <n v="0"/>
    <n v="0"/>
    <n v="0"/>
    <n v="0"/>
    <n v="0"/>
    <n v="0"/>
    <n v="0"/>
    <n v="0"/>
    <n v="0"/>
    <n v="0"/>
    <n v="0"/>
    <n v="0"/>
    <n v="0"/>
    <s v="MMR012CMP016"/>
    <x v="0"/>
    <m/>
  </r>
  <r>
    <n v="20.866666666666667"/>
    <x v="1"/>
    <x v="88"/>
    <x v="0"/>
    <s v="LWF"/>
    <x v="0"/>
    <x v="0"/>
    <s v="Khaung Doke Khar "/>
    <m/>
    <n v="799"/>
    <n v="4394"/>
    <m/>
    <m/>
    <n v="799"/>
    <m/>
    <m/>
    <n v="799"/>
    <m/>
    <m/>
    <m/>
    <m/>
    <m/>
    <m/>
    <m/>
    <m/>
    <m/>
    <m/>
    <m/>
    <m/>
    <n v="0"/>
    <n v="0"/>
    <n v="0"/>
    <n v="0"/>
    <n v="0"/>
    <n v="0"/>
    <n v="0"/>
    <n v="0"/>
    <n v="0"/>
    <n v="0"/>
    <n v="0"/>
    <n v="0"/>
    <n v="0"/>
    <n v="0"/>
    <n v="0"/>
    <n v="0"/>
    <s v=""/>
    <x v="1"/>
    <m/>
  </r>
  <r>
    <n v="21"/>
    <x v="1"/>
    <x v="89"/>
    <x v="0"/>
    <s v="LWF"/>
    <x v="0"/>
    <x v="0"/>
    <s v="Basare"/>
    <m/>
    <n v="397"/>
    <n v="2183"/>
    <m/>
    <m/>
    <n v="397"/>
    <m/>
    <n v="794"/>
    <n v="397"/>
    <m/>
    <m/>
    <m/>
    <n v="1859"/>
    <m/>
    <m/>
    <m/>
    <m/>
    <m/>
    <m/>
    <m/>
    <m/>
    <n v="0"/>
    <n v="0"/>
    <n v="0"/>
    <n v="0"/>
    <n v="0"/>
    <n v="0"/>
    <n v="0"/>
    <n v="0"/>
    <n v="0"/>
    <n v="0"/>
    <n v="0"/>
    <n v="0"/>
    <n v="0"/>
    <n v="0"/>
    <n v="0"/>
    <n v="0"/>
    <s v="MMR012CMP039"/>
    <x v="0"/>
    <m/>
  </r>
  <r>
    <n v="21.133333333333333"/>
    <x v="1"/>
    <x v="90"/>
    <x v="3"/>
    <s v="NRC"/>
    <x v="0"/>
    <x v="3"/>
    <s v="Ah Htet Nan Yar"/>
    <m/>
    <n v="270"/>
    <n v="1485"/>
    <n v="270"/>
    <m/>
    <m/>
    <m/>
    <n v="270"/>
    <m/>
    <m/>
    <m/>
    <m/>
    <m/>
    <m/>
    <m/>
    <m/>
    <m/>
    <m/>
    <m/>
    <m/>
    <m/>
    <n v="0"/>
    <n v="0"/>
    <n v="0"/>
    <n v="0"/>
    <n v="0"/>
    <n v="0"/>
    <n v="0"/>
    <n v="0"/>
    <n v="0"/>
    <n v="0"/>
    <n v="0"/>
    <n v="0"/>
    <n v="0"/>
    <n v="0"/>
    <n v="0"/>
    <n v="0"/>
    <s v=""/>
    <x v="1"/>
    <m/>
  </r>
  <r>
    <n v="21.366666666666667"/>
    <x v="1"/>
    <x v="91"/>
    <x v="15"/>
    <s v="MAUK"/>
    <x v="0"/>
    <x v="0"/>
    <s v="Ohn Taw Gyi (South)"/>
    <m/>
    <s v="N/A"/>
    <n v="2009"/>
    <m/>
    <m/>
    <m/>
    <m/>
    <m/>
    <m/>
    <m/>
    <m/>
    <m/>
    <m/>
    <m/>
    <n v="2009"/>
    <m/>
    <m/>
    <m/>
    <m/>
    <m/>
    <m/>
    <n v="0"/>
    <n v="0"/>
    <n v="0"/>
    <n v="0"/>
    <n v="0"/>
    <n v="0"/>
    <n v="0"/>
    <n v="0"/>
    <n v="0"/>
    <n v="0"/>
    <n v="0"/>
    <n v="0"/>
    <n v="0"/>
    <n v="0"/>
    <n v="0"/>
    <n v="0"/>
    <s v="MMR012CMP116"/>
    <x v="0"/>
    <m/>
  </r>
  <r>
    <n v="22.066666666666666"/>
    <x v="1"/>
    <x v="92"/>
    <x v="16"/>
    <s v="LWF"/>
    <x v="0"/>
    <x v="0"/>
    <s v="Thae Chaung"/>
    <m/>
    <m/>
    <m/>
    <m/>
    <m/>
    <m/>
    <m/>
    <m/>
    <m/>
    <m/>
    <m/>
    <m/>
    <m/>
    <m/>
    <n v="4000"/>
    <m/>
    <m/>
    <m/>
    <m/>
    <m/>
    <m/>
    <n v="0"/>
    <n v="0"/>
    <n v="0"/>
    <n v="0"/>
    <n v="0"/>
    <n v="0"/>
    <n v="0"/>
    <n v="0"/>
    <n v="0"/>
    <n v="0"/>
    <n v="0"/>
    <n v="0"/>
    <n v="0"/>
    <n v="0"/>
    <n v="0"/>
    <n v="0"/>
    <s v="MMR012CMP046"/>
    <x v="0"/>
    <m/>
  </r>
  <r>
    <n v="22.066666666666666"/>
    <x v="1"/>
    <x v="92"/>
    <x v="0"/>
    <s v="UNHCR"/>
    <x v="0"/>
    <x v="3"/>
    <s v="Ah Htet Nan Yar"/>
    <m/>
    <n v="557"/>
    <n v="3063"/>
    <m/>
    <m/>
    <m/>
    <m/>
    <n v="1114"/>
    <m/>
    <m/>
    <m/>
    <m/>
    <m/>
    <m/>
    <m/>
    <m/>
    <m/>
    <m/>
    <m/>
    <m/>
    <m/>
    <n v="0"/>
    <n v="0"/>
    <n v="0"/>
    <n v="0"/>
    <n v="0"/>
    <n v="0"/>
    <n v="0"/>
    <n v="0"/>
    <n v="0"/>
    <n v="0"/>
    <n v="0"/>
    <n v="0"/>
    <n v="0"/>
    <n v="0"/>
    <n v="0"/>
    <n v="0"/>
    <s v=""/>
    <x v="1"/>
    <m/>
  </r>
  <r>
    <n v="22.266666666666666"/>
    <x v="1"/>
    <x v="93"/>
    <x v="8"/>
    <s v="SCI"/>
    <x v="0"/>
    <x v="0"/>
    <s v="Basare"/>
    <m/>
    <n v="397"/>
    <n v="2184"/>
    <m/>
    <n v="397"/>
    <m/>
    <m/>
    <m/>
    <m/>
    <m/>
    <m/>
    <m/>
    <m/>
    <m/>
    <m/>
    <m/>
    <m/>
    <m/>
    <m/>
    <m/>
    <m/>
    <n v="0"/>
    <n v="0"/>
    <n v="0"/>
    <n v="0"/>
    <n v="0"/>
    <n v="0"/>
    <n v="0"/>
    <n v="0"/>
    <n v="0"/>
    <n v="0"/>
    <n v="0"/>
    <n v="0"/>
    <n v="0"/>
    <n v="0"/>
    <n v="0"/>
    <n v="0"/>
    <s v="MMR012CMP039"/>
    <x v="0"/>
    <m/>
  </r>
  <r>
    <n v="22.533333333333335"/>
    <x v="1"/>
    <x v="94"/>
    <x v="16"/>
    <s v="LWF"/>
    <x v="0"/>
    <x v="1"/>
    <s v="Nget Chaung 2"/>
    <m/>
    <m/>
    <n v="858"/>
    <m/>
    <m/>
    <m/>
    <m/>
    <m/>
    <m/>
    <m/>
    <m/>
    <m/>
    <m/>
    <n v="858"/>
    <m/>
    <m/>
    <m/>
    <m/>
    <m/>
    <m/>
    <m/>
    <n v="0"/>
    <n v="0"/>
    <n v="0"/>
    <n v="0"/>
    <n v="0"/>
    <n v="0"/>
    <n v="0"/>
    <n v="0"/>
    <n v="0"/>
    <n v="0"/>
    <n v="0"/>
    <n v="0"/>
    <n v="0"/>
    <n v="0"/>
    <n v="0"/>
    <n v="0"/>
    <s v="MMR012CMP017"/>
    <x v="0"/>
    <s v="Distributed Item number is number of HH"/>
  </r>
  <r>
    <n v="22.533333333333335"/>
    <x v="1"/>
    <x v="94"/>
    <x v="16"/>
    <s v="LWF"/>
    <x v="0"/>
    <x v="1"/>
    <s v="Ah Nauk Ywe"/>
    <m/>
    <m/>
    <n v="1212"/>
    <m/>
    <m/>
    <m/>
    <m/>
    <m/>
    <m/>
    <m/>
    <m/>
    <m/>
    <m/>
    <n v="1224"/>
    <m/>
    <m/>
    <m/>
    <m/>
    <m/>
    <m/>
    <m/>
    <n v="0"/>
    <n v="0"/>
    <n v="0"/>
    <n v="0"/>
    <n v="0"/>
    <n v="0"/>
    <n v="0"/>
    <n v="0"/>
    <n v="0"/>
    <n v="0"/>
    <n v="0"/>
    <n v="0"/>
    <n v="0"/>
    <n v="0"/>
    <n v="0"/>
    <n v="0"/>
    <s v="MMR012CMP016"/>
    <x v="0"/>
    <s v="Distributed Item number is number of HH"/>
  </r>
  <r>
    <n v="22.533333333333335"/>
    <x v="1"/>
    <x v="94"/>
    <x v="12"/>
    <s v="CDN"/>
    <x v="0"/>
    <x v="0"/>
    <s v="Khaung Doke Khar "/>
    <m/>
    <n v="799"/>
    <n v="4395"/>
    <m/>
    <n v="799"/>
    <m/>
    <m/>
    <m/>
    <m/>
    <m/>
    <m/>
    <m/>
    <m/>
    <m/>
    <m/>
    <m/>
    <m/>
    <m/>
    <m/>
    <m/>
    <m/>
    <n v="0"/>
    <n v="0"/>
    <n v="0"/>
    <n v="0"/>
    <n v="0"/>
    <n v="0"/>
    <n v="0"/>
    <n v="0"/>
    <n v="0"/>
    <n v="0"/>
    <n v="0"/>
    <n v="0"/>
    <n v="0"/>
    <n v="0"/>
    <n v="0"/>
    <n v="0"/>
    <s v=""/>
    <x v="1"/>
    <s v="Distributed Item number is number of HH"/>
  </r>
  <r>
    <n v="22.533333333333335"/>
    <x v="1"/>
    <x v="94"/>
    <x v="4"/>
    <s v="MHAA"/>
    <x v="0"/>
    <x v="2"/>
    <s v="Taung Paw "/>
    <m/>
    <n v="690"/>
    <n v="3795"/>
    <m/>
    <m/>
    <n v="690"/>
    <m/>
    <m/>
    <m/>
    <m/>
    <m/>
    <m/>
    <m/>
    <m/>
    <m/>
    <m/>
    <m/>
    <m/>
    <m/>
    <m/>
    <m/>
    <n v="0"/>
    <n v="0"/>
    <n v="0"/>
    <n v="0"/>
    <n v="0"/>
    <n v="0"/>
    <n v="0"/>
    <n v="0"/>
    <n v="0"/>
    <n v="0"/>
    <n v="0"/>
    <n v="0"/>
    <n v="0"/>
    <n v="0"/>
    <n v="0"/>
    <n v="0"/>
    <s v="MMR012CMP014"/>
    <x v="0"/>
    <s v="Distributed Item number is also the same with HH"/>
  </r>
  <r>
    <n v="22.666666666666668"/>
    <x v="1"/>
    <x v="95"/>
    <x v="17"/>
    <s v="Gov"/>
    <x v="0"/>
    <x v="0"/>
    <s v="Ohn Taw Gyi (South)"/>
    <m/>
    <n v="350"/>
    <n v="1925"/>
    <n v="350"/>
    <m/>
    <m/>
    <m/>
    <m/>
    <m/>
    <m/>
    <m/>
    <m/>
    <m/>
    <m/>
    <m/>
    <m/>
    <m/>
    <m/>
    <m/>
    <m/>
    <m/>
    <n v="0"/>
    <n v="0"/>
    <n v="0"/>
    <n v="0"/>
    <n v="0"/>
    <n v="0"/>
    <n v="0"/>
    <n v="0"/>
    <n v="0"/>
    <n v="0"/>
    <n v="0"/>
    <n v="0"/>
    <n v="0"/>
    <n v="0"/>
    <n v="0"/>
    <n v="0"/>
    <s v="MMR012CMP116"/>
    <x v="0"/>
    <s v="Gov provided 350 kits which include noodle, clothes and wheat. "/>
  </r>
  <r>
    <n v="22.666666666666668"/>
    <x v="1"/>
    <x v="95"/>
    <x v="16"/>
    <s v="LWF"/>
    <x v="0"/>
    <x v="0"/>
    <s v="Ohn Taw Gyi (South)"/>
    <m/>
    <m/>
    <n v="2224"/>
    <m/>
    <m/>
    <m/>
    <m/>
    <m/>
    <m/>
    <m/>
    <m/>
    <m/>
    <m/>
    <n v="2237"/>
    <m/>
    <m/>
    <m/>
    <m/>
    <m/>
    <m/>
    <m/>
    <n v="0"/>
    <n v="0"/>
    <n v="0"/>
    <n v="0"/>
    <n v="0"/>
    <n v="0"/>
    <n v="0"/>
    <n v="0"/>
    <n v="0"/>
    <n v="0"/>
    <n v="0"/>
    <n v="0"/>
    <n v="0"/>
    <n v="0"/>
    <n v="0"/>
    <n v="0"/>
    <s v="MMR012CMP116"/>
    <x v="0"/>
    <s v="Distributed Item number is number of HH"/>
  </r>
  <r>
    <n v="22.666666666666668"/>
    <x v="1"/>
    <x v="95"/>
    <x v="16"/>
    <s v="NRC"/>
    <x v="0"/>
    <x v="0"/>
    <s v="Thet Kae Pyin "/>
    <m/>
    <m/>
    <n v="992"/>
    <m/>
    <m/>
    <m/>
    <m/>
    <m/>
    <m/>
    <m/>
    <m/>
    <m/>
    <m/>
    <n v="4150"/>
    <n v="1900"/>
    <m/>
    <m/>
    <m/>
    <m/>
    <m/>
    <m/>
    <n v="0"/>
    <n v="0"/>
    <n v="0"/>
    <n v="0"/>
    <n v="0"/>
    <n v="0"/>
    <n v="0"/>
    <n v="0"/>
    <n v="0"/>
    <n v="0"/>
    <n v="0"/>
    <n v="0"/>
    <n v="0"/>
    <n v="0"/>
    <n v="0"/>
    <n v="0"/>
    <s v="MMR012CMP048"/>
    <x v="0"/>
    <s v="Distributed Item number is number of HH"/>
  </r>
  <r>
    <n v="22.7"/>
    <x v="1"/>
    <x v="96"/>
    <x v="16"/>
    <s v="LWF"/>
    <x v="0"/>
    <x v="0"/>
    <s v="Khaung Doke Khar "/>
    <m/>
    <m/>
    <n v="795"/>
    <m/>
    <m/>
    <m/>
    <m/>
    <m/>
    <m/>
    <m/>
    <m/>
    <m/>
    <m/>
    <n v="1596"/>
    <m/>
    <m/>
    <m/>
    <m/>
    <m/>
    <m/>
    <m/>
    <n v="0"/>
    <n v="0"/>
    <n v="0"/>
    <n v="0"/>
    <n v="0"/>
    <n v="0"/>
    <n v="0"/>
    <n v="0"/>
    <n v="0"/>
    <n v="0"/>
    <n v="0"/>
    <n v="0"/>
    <n v="0"/>
    <n v="0"/>
    <n v="0"/>
    <n v="0"/>
    <s v=""/>
    <x v="1"/>
    <s v="Distributed Item number is number of HH"/>
  </r>
  <r>
    <n v="22.7"/>
    <x v="1"/>
    <x v="96"/>
    <x v="16"/>
    <s v="LWF"/>
    <x v="0"/>
    <x v="0"/>
    <s v="Basare"/>
    <m/>
    <m/>
    <n v="398"/>
    <m/>
    <m/>
    <m/>
    <m/>
    <m/>
    <m/>
    <m/>
    <m/>
    <m/>
    <m/>
    <n v="397"/>
    <m/>
    <m/>
    <m/>
    <m/>
    <m/>
    <m/>
    <m/>
    <n v="0"/>
    <n v="0"/>
    <n v="0"/>
    <n v="0"/>
    <n v="0"/>
    <n v="0"/>
    <n v="0"/>
    <n v="0"/>
    <n v="0"/>
    <n v="0"/>
    <n v="0"/>
    <n v="0"/>
    <n v="0"/>
    <n v="0"/>
    <n v="0"/>
    <n v="0"/>
    <s v="MMR012CMP039"/>
    <x v="0"/>
    <s v="Distributed Item number is number of HH"/>
  </r>
  <r>
    <n v="22.766666666666666"/>
    <x v="1"/>
    <x v="97"/>
    <x v="16"/>
    <s v="NRC"/>
    <x v="0"/>
    <x v="0"/>
    <s v="Maw Ti Ngar"/>
    <m/>
    <m/>
    <n v="624"/>
    <m/>
    <m/>
    <m/>
    <m/>
    <m/>
    <m/>
    <m/>
    <m/>
    <m/>
    <m/>
    <n v="2960"/>
    <n v="1383"/>
    <m/>
    <m/>
    <m/>
    <m/>
    <m/>
    <m/>
    <n v="0"/>
    <n v="0"/>
    <n v="0"/>
    <n v="0"/>
    <n v="0"/>
    <n v="0"/>
    <n v="0"/>
    <n v="0"/>
    <n v="0"/>
    <n v="0"/>
    <n v="0"/>
    <n v="0"/>
    <n v="0"/>
    <n v="0"/>
    <n v="0"/>
    <n v="0"/>
    <s v="MMR012CMP092"/>
    <x v="0"/>
    <s v="Distributed Item number is number of HH"/>
  </r>
  <r>
    <n v="23.166666666666668"/>
    <x v="1"/>
    <x v="98"/>
    <x v="14"/>
    <s v="RI"/>
    <x v="0"/>
    <x v="2"/>
    <s v="Taung Paw "/>
    <m/>
    <n v="703"/>
    <n v="3865"/>
    <m/>
    <n v="703"/>
    <m/>
    <m/>
    <m/>
    <m/>
    <m/>
    <m/>
    <m/>
    <m/>
    <m/>
    <m/>
    <m/>
    <m/>
    <m/>
    <m/>
    <m/>
    <m/>
    <n v="0"/>
    <n v="0"/>
    <n v="0"/>
    <n v="0"/>
    <n v="0"/>
    <n v="0"/>
    <n v="0"/>
    <n v="0"/>
    <n v="0"/>
    <n v="0"/>
    <n v="0"/>
    <n v="0"/>
    <n v="0"/>
    <n v="0"/>
    <n v="0"/>
    <n v="0"/>
    <s v="MMR012CMP014"/>
    <x v="0"/>
    <s v="Distributed Item number is also the same with HH"/>
  </r>
  <r>
    <n v="23.4"/>
    <x v="2"/>
    <x v="99"/>
    <x v="14"/>
    <s v="RI"/>
    <x v="0"/>
    <x v="2"/>
    <s v="Taung Paw "/>
    <m/>
    <m/>
    <m/>
    <m/>
    <m/>
    <m/>
    <m/>
    <m/>
    <m/>
    <m/>
    <m/>
    <m/>
    <m/>
    <m/>
    <m/>
    <n v="628"/>
    <m/>
    <m/>
    <m/>
    <m/>
    <m/>
    <n v="0"/>
    <n v="0"/>
    <n v="0"/>
    <n v="0"/>
    <n v="0"/>
    <n v="0"/>
    <n v="0"/>
    <n v="0"/>
    <n v="0"/>
    <n v="0"/>
    <n v="0"/>
    <n v="0"/>
    <n v="0"/>
    <n v="0"/>
    <n v="0"/>
    <n v="0"/>
    <s v="MMR012CMP014"/>
    <x v="0"/>
    <m/>
  </r>
  <r>
    <n v="23.466666666666665"/>
    <x v="2"/>
    <x v="100"/>
    <x v="14"/>
    <s v="RI"/>
    <x v="0"/>
    <x v="2"/>
    <s v="Taung Paw "/>
    <m/>
    <m/>
    <m/>
    <m/>
    <m/>
    <m/>
    <m/>
    <m/>
    <m/>
    <m/>
    <m/>
    <m/>
    <m/>
    <n v="628"/>
    <m/>
    <m/>
    <m/>
    <m/>
    <m/>
    <m/>
    <m/>
    <n v="0"/>
    <n v="0"/>
    <n v="0"/>
    <n v="0"/>
    <n v="0"/>
    <n v="0"/>
    <n v="0"/>
    <n v="0"/>
    <n v="0"/>
    <n v="0"/>
    <n v="0"/>
    <n v="0"/>
    <n v="0"/>
    <n v="0"/>
    <n v="0"/>
    <n v="0"/>
    <s v="MMR012CMP014"/>
    <x v="0"/>
    <m/>
  </r>
  <r>
    <n v="23.566666666666666"/>
    <x v="2"/>
    <x v="101"/>
    <x v="14"/>
    <s v="RI"/>
    <x v="0"/>
    <x v="2"/>
    <s v="Taung Paw "/>
    <m/>
    <m/>
    <m/>
    <m/>
    <m/>
    <m/>
    <m/>
    <n v="703"/>
    <m/>
    <m/>
    <m/>
    <m/>
    <m/>
    <m/>
    <m/>
    <m/>
    <m/>
    <m/>
    <m/>
    <m/>
    <m/>
    <n v="0"/>
    <n v="0"/>
    <n v="0"/>
    <n v="0"/>
    <n v="0"/>
    <n v="0"/>
    <n v="0"/>
    <n v="0"/>
    <n v="0"/>
    <n v="0"/>
    <n v="0"/>
    <n v="0"/>
    <n v="0"/>
    <n v="0"/>
    <n v="0"/>
    <n v="0"/>
    <s v="MMR012CMP014"/>
    <x v="0"/>
    <m/>
  </r>
  <r>
    <n v="24.033333333333335"/>
    <x v="2"/>
    <x v="102"/>
    <x v="5"/>
    <s v="SI"/>
    <x v="0"/>
    <x v="1"/>
    <s v="Ah Nauk Ywe"/>
    <m/>
    <m/>
    <m/>
    <m/>
    <m/>
    <m/>
    <m/>
    <m/>
    <n v="1228"/>
    <m/>
    <m/>
    <m/>
    <m/>
    <m/>
    <m/>
    <m/>
    <m/>
    <m/>
    <m/>
    <m/>
    <m/>
    <n v="0"/>
    <n v="0"/>
    <n v="0"/>
    <n v="0"/>
    <n v="0"/>
    <n v="0"/>
    <n v="0"/>
    <n v="0"/>
    <n v="0"/>
    <n v="0"/>
    <n v="0"/>
    <n v="0"/>
    <n v="0"/>
    <n v="0"/>
    <n v="0"/>
    <n v="0"/>
    <s v="MMR012CMP016"/>
    <x v="0"/>
    <m/>
  </r>
  <r>
    <n v="24.366666666666667"/>
    <x v="2"/>
    <x v="103"/>
    <x v="5"/>
    <s v="SI"/>
    <x v="0"/>
    <x v="0"/>
    <s v="Thae Chaung"/>
    <m/>
    <m/>
    <m/>
    <m/>
    <m/>
    <m/>
    <m/>
    <m/>
    <m/>
    <m/>
    <m/>
    <n v="985"/>
    <m/>
    <m/>
    <m/>
    <m/>
    <m/>
    <m/>
    <m/>
    <m/>
    <m/>
    <n v="0"/>
    <n v="0"/>
    <n v="0"/>
    <n v="0"/>
    <n v="0"/>
    <n v="0"/>
    <n v="0"/>
    <n v="0"/>
    <n v="0"/>
    <n v="0"/>
    <n v="0"/>
    <n v="0"/>
    <n v="0"/>
    <n v="0"/>
    <n v="0"/>
    <n v="0"/>
    <s v="MMR012CMP046"/>
    <x v="0"/>
    <m/>
  </r>
  <r>
    <n v="24.5"/>
    <x v="2"/>
    <x v="104"/>
    <x v="3"/>
    <s v="NRC"/>
    <x v="0"/>
    <x v="0"/>
    <s v="Thet Kae Pyin "/>
    <n v="1000"/>
    <m/>
    <m/>
    <n v="32"/>
    <m/>
    <n v="32"/>
    <m/>
    <n v="64"/>
    <m/>
    <m/>
    <n v="64"/>
    <n v="64"/>
    <n v="64"/>
    <m/>
    <m/>
    <m/>
    <m/>
    <m/>
    <m/>
    <m/>
    <m/>
    <n v="0"/>
    <n v="0"/>
    <n v="0"/>
    <n v="0"/>
    <n v="0"/>
    <n v="0"/>
    <n v="0"/>
    <n v="0"/>
    <n v="0"/>
    <n v="0"/>
    <n v="0"/>
    <n v="0"/>
    <n v="0"/>
    <n v="0"/>
    <n v="0"/>
    <n v="0"/>
    <s v="MMR012CMP048"/>
    <x v="0"/>
    <m/>
  </r>
  <r>
    <n v="24.5"/>
    <x v="2"/>
    <x v="104"/>
    <x v="3"/>
    <s v="NRC"/>
    <x v="0"/>
    <x v="0"/>
    <s v="Maw Ti Ngar"/>
    <m/>
    <m/>
    <m/>
    <n v="624"/>
    <n v="656"/>
    <n v="1248"/>
    <m/>
    <n v="624"/>
    <m/>
    <m/>
    <n v="1248"/>
    <n v="1248"/>
    <n v="1248"/>
    <m/>
    <m/>
    <m/>
    <m/>
    <m/>
    <m/>
    <m/>
    <m/>
    <n v="0"/>
    <n v="0"/>
    <n v="0"/>
    <n v="0"/>
    <n v="0"/>
    <n v="0"/>
    <n v="0"/>
    <n v="0"/>
    <n v="0"/>
    <n v="0"/>
    <n v="0"/>
    <n v="0"/>
    <n v="0"/>
    <n v="0"/>
    <n v="0"/>
    <n v="0"/>
    <s v="MMR012CMP092"/>
    <x v="0"/>
    <m/>
  </r>
  <r>
    <n v="24.8"/>
    <x v="2"/>
    <x v="105"/>
    <x v="14"/>
    <s v="RI"/>
    <x v="0"/>
    <x v="2"/>
    <s v="Taung Paw "/>
    <m/>
    <m/>
    <m/>
    <m/>
    <m/>
    <m/>
    <m/>
    <m/>
    <m/>
    <n v="195"/>
    <m/>
    <m/>
    <m/>
    <m/>
    <m/>
    <m/>
    <m/>
    <m/>
    <m/>
    <m/>
    <m/>
    <n v="0"/>
    <n v="0"/>
    <n v="0"/>
    <n v="0"/>
    <n v="0"/>
    <n v="0"/>
    <n v="0"/>
    <n v="0"/>
    <n v="0"/>
    <n v="0"/>
    <n v="0"/>
    <n v="0"/>
    <n v="0"/>
    <n v="0"/>
    <n v="0"/>
    <n v="0"/>
    <s v="MMR012CMP014"/>
    <x v="0"/>
    <m/>
  </r>
  <r>
    <n v="25"/>
    <x v="2"/>
    <x v="106"/>
    <x v="5"/>
    <s v="SI"/>
    <x v="0"/>
    <x v="1"/>
    <s v="Nget Chaung 2"/>
    <m/>
    <m/>
    <m/>
    <m/>
    <m/>
    <m/>
    <m/>
    <m/>
    <n v="856"/>
    <m/>
    <m/>
    <m/>
    <m/>
    <m/>
    <m/>
    <m/>
    <m/>
    <m/>
    <m/>
    <m/>
    <m/>
    <n v="0"/>
    <n v="0"/>
    <n v="0"/>
    <n v="0"/>
    <n v="0"/>
    <n v="0"/>
    <n v="0"/>
    <n v="0"/>
    <n v="0"/>
    <n v="0"/>
    <n v="0"/>
    <n v="0"/>
    <n v="0"/>
    <n v="0"/>
    <n v="0"/>
    <n v="0"/>
    <s v="MMR012CMP017"/>
    <x v="0"/>
    <m/>
  </r>
  <r>
    <n v="25.066666666666666"/>
    <x v="2"/>
    <x v="107"/>
    <x v="14"/>
    <s v="RI"/>
    <x v="0"/>
    <x v="2"/>
    <s v="Taung Paw "/>
    <n v="734"/>
    <m/>
    <m/>
    <m/>
    <m/>
    <m/>
    <m/>
    <m/>
    <m/>
    <m/>
    <m/>
    <m/>
    <m/>
    <m/>
    <m/>
    <m/>
    <m/>
    <m/>
    <m/>
    <m/>
    <m/>
    <m/>
    <m/>
    <m/>
    <n v="0"/>
    <m/>
    <m/>
    <m/>
    <m/>
    <m/>
    <m/>
    <m/>
    <n v="0"/>
    <n v="0"/>
    <n v="0"/>
    <n v="0"/>
    <n v="0"/>
    <s v="MMR012CMP014"/>
    <x v="0"/>
    <m/>
  </r>
  <r>
    <n v="26.466666666666665"/>
    <x v="2"/>
    <x v="108"/>
    <x v="3"/>
    <s v="NRC"/>
    <x v="0"/>
    <x v="0"/>
    <s v="Thet Kae Pyin "/>
    <m/>
    <m/>
    <m/>
    <n v="973"/>
    <m/>
    <n v="973"/>
    <m/>
    <n v="973"/>
    <m/>
    <m/>
    <n v="1964"/>
    <n v="1964"/>
    <n v="1964"/>
    <m/>
    <m/>
    <m/>
    <m/>
    <m/>
    <m/>
    <m/>
    <m/>
    <n v="0"/>
    <n v="0"/>
    <n v="0"/>
    <n v="0"/>
    <n v="0"/>
    <n v="0"/>
    <n v="0"/>
    <n v="0"/>
    <n v="0"/>
    <n v="0"/>
    <n v="0"/>
    <n v="0"/>
    <n v="0"/>
    <n v="0"/>
    <n v="0"/>
    <n v="0"/>
    <s v="MMR012CMP048"/>
    <x v="0"/>
    <m/>
  </r>
  <r>
    <n v="28.233333333333334"/>
    <x v="2"/>
    <x v="109"/>
    <x v="14"/>
    <s v="RI"/>
    <x v="0"/>
    <x v="2"/>
    <s v="Taung Paw "/>
    <n v="703"/>
    <m/>
    <m/>
    <m/>
    <m/>
    <m/>
    <m/>
    <m/>
    <m/>
    <m/>
    <m/>
    <m/>
    <m/>
    <m/>
    <m/>
    <m/>
    <m/>
    <m/>
    <m/>
    <m/>
    <m/>
    <n v="0"/>
    <n v="0"/>
    <n v="0"/>
    <n v="0"/>
    <n v="0"/>
    <n v="0"/>
    <n v="0"/>
    <n v="0"/>
    <n v="0"/>
    <n v="0"/>
    <n v="0"/>
    <n v="0"/>
    <n v="0"/>
    <n v="0"/>
    <n v="0"/>
    <n v="0"/>
    <s v="MMR012CMP014"/>
    <x v="0"/>
    <m/>
  </r>
  <r>
    <n v="28.233333333333334"/>
    <x v="2"/>
    <x v="109"/>
    <x v="14"/>
    <s v="RI"/>
    <x v="0"/>
    <x v="2"/>
    <s v="Kan Thar Htwat Wa"/>
    <n v="40"/>
    <m/>
    <m/>
    <m/>
    <m/>
    <m/>
    <m/>
    <m/>
    <m/>
    <m/>
    <m/>
    <m/>
    <m/>
    <m/>
    <m/>
    <m/>
    <m/>
    <m/>
    <m/>
    <m/>
    <m/>
    <n v="0"/>
    <n v="0"/>
    <n v="0"/>
    <n v="0"/>
    <n v="0"/>
    <n v="0"/>
    <n v="0"/>
    <n v="0"/>
    <n v="0"/>
    <n v="0"/>
    <n v="0"/>
    <n v="0"/>
    <n v="0"/>
    <n v="0"/>
    <n v="0"/>
    <n v="0"/>
    <s v="MMR012CMP013"/>
    <x v="2"/>
    <m/>
  </r>
  <r>
    <n v="29.733333333333334"/>
    <x v="2"/>
    <x v="110"/>
    <x v="0"/>
    <s v="UNHCR"/>
    <x v="0"/>
    <x v="5"/>
    <s v="Kyauk Ta Lone"/>
    <n v="65"/>
    <m/>
    <m/>
    <n v="65"/>
    <m/>
    <m/>
    <m/>
    <n v="65"/>
    <m/>
    <m/>
    <m/>
    <m/>
    <m/>
    <m/>
    <m/>
    <m/>
    <m/>
    <m/>
    <m/>
    <m/>
    <m/>
    <n v="0"/>
    <n v="0"/>
    <n v="0"/>
    <n v="0"/>
    <n v="0"/>
    <n v="0"/>
    <n v="0"/>
    <n v="0"/>
    <n v="0"/>
    <n v="0"/>
    <n v="0"/>
    <n v="0"/>
    <n v="0"/>
    <n v="0"/>
    <n v="0"/>
    <n v="0"/>
    <s v="MMR012CMP035"/>
    <x v="0"/>
    <m/>
  </r>
  <r>
    <n v="29.766666666666666"/>
    <x v="2"/>
    <x v="111"/>
    <x v="0"/>
    <s v="UNHCR"/>
    <x v="0"/>
    <x v="5"/>
    <s v="Ka Nyin Taw"/>
    <m/>
    <m/>
    <m/>
    <n v="427"/>
    <m/>
    <m/>
    <m/>
    <n v="854"/>
    <m/>
    <m/>
    <m/>
    <m/>
    <m/>
    <m/>
    <m/>
    <m/>
    <m/>
    <m/>
    <m/>
    <m/>
    <m/>
    <n v="0"/>
    <n v="0"/>
    <n v="0"/>
    <n v="0"/>
    <n v="0"/>
    <n v="0"/>
    <n v="0"/>
    <n v="0"/>
    <n v="0"/>
    <n v="0"/>
    <n v="0"/>
    <n v="0"/>
    <n v="0"/>
    <n v="0"/>
    <n v="0"/>
    <n v="0"/>
    <s v="MMR012CMP036"/>
    <x v="2"/>
    <m/>
  </r>
  <r>
    <n v="30.466666666666665"/>
    <x v="2"/>
    <x v="112"/>
    <x v="0"/>
    <s v="LWF"/>
    <x v="0"/>
    <x v="1"/>
    <s v="Ah Nauk Ywe"/>
    <m/>
    <m/>
    <m/>
    <m/>
    <m/>
    <m/>
    <n v="60"/>
    <m/>
    <m/>
    <m/>
    <m/>
    <m/>
    <m/>
    <m/>
    <m/>
    <m/>
    <m/>
    <m/>
    <m/>
    <m/>
    <m/>
    <n v="0"/>
    <n v="0"/>
    <n v="0"/>
    <n v="0"/>
    <n v="0"/>
    <n v="0"/>
    <n v="0"/>
    <n v="0"/>
    <n v="0"/>
    <n v="0"/>
    <n v="0"/>
    <n v="0"/>
    <n v="0"/>
    <n v="0"/>
    <n v="0"/>
    <n v="0"/>
    <s v="MMR012CMP016"/>
    <x v="0"/>
    <m/>
  </r>
  <r>
    <n v="31.266666666666666"/>
    <x v="2"/>
    <x v="113"/>
    <x v="1"/>
    <s v="DRC"/>
    <x v="0"/>
    <x v="0"/>
    <s v="Baw Du Pha 2"/>
    <m/>
    <m/>
    <m/>
    <m/>
    <n v="424"/>
    <m/>
    <n v="424"/>
    <m/>
    <m/>
    <m/>
    <m/>
    <m/>
    <n v="848"/>
    <m/>
    <m/>
    <m/>
    <m/>
    <m/>
    <m/>
    <m/>
    <m/>
    <n v="0"/>
    <n v="0"/>
    <n v="0"/>
    <n v="0"/>
    <n v="0"/>
    <n v="0"/>
    <n v="0"/>
    <n v="0"/>
    <n v="0"/>
    <n v="0"/>
    <n v="0"/>
    <n v="0"/>
    <n v="0"/>
    <n v="0"/>
    <n v="0"/>
    <n v="0"/>
    <s v="MMR012CMP114"/>
    <x v="0"/>
    <m/>
  </r>
  <r>
    <n v="34.333333333333336"/>
    <x v="2"/>
    <x v="114"/>
    <x v="0"/>
    <s v="UNHCR"/>
    <x v="0"/>
    <x v="0"/>
    <s v="Say Tha Mar Gyi"/>
    <m/>
    <m/>
    <m/>
    <m/>
    <m/>
    <n v="3630"/>
    <n v="1815"/>
    <n v="1815"/>
    <n v="1815"/>
    <m/>
    <n v="1815"/>
    <n v="1815"/>
    <n v="9075"/>
    <m/>
    <m/>
    <m/>
    <m/>
    <m/>
    <m/>
    <m/>
    <m/>
    <n v="0"/>
    <n v="0"/>
    <n v="0"/>
    <n v="0"/>
    <n v="0"/>
    <n v="0"/>
    <n v="0"/>
    <n v="0"/>
    <n v="0"/>
    <n v="0"/>
    <n v="0"/>
    <n v="0"/>
    <n v="0"/>
    <n v="0"/>
    <n v="0"/>
    <n v="0"/>
    <s v="MMR012CMP045"/>
    <x v="0"/>
    <m/>
  </r>
  <r>
    <n v="34.533333333333331"/>
    <x v="2"/>
    <x v="115"/>
    <x v="0"/>
    <s v="UNHCR"/>
    <x v="0"/>
    <x v="0"/>
    <s v="San Htoe Tan"/>
    <m/>
    <m/>
    <m/>
    <m/>
    <m/>
    <n v="6"/>
    <n v="3"/>
    <n v="6"/>
    <n v="3"/>
    <m/>
    <n v="3"/>
    <n v="3"/>
    <n v="15"/>
    <m/>
    <m/>
    <m/>
    <m/>
    <m/>
    <m/>
    <m/>
    <m/>
    <n v="0"/>
    <n v="0"/>
    <n v="0"/>
    <n v="0"/>
    <n v="0"/>
    <n v="0"/>
    <n v="0"/>
    <n v="0"/>
    <n v="0"/>
    <n v="0"/>
    <n v="0"/>
    <n v="0"/>
    <n v="0"/>
    <n v="0"/>
    <n v="0"/>
    <n v="0"/>
    <s v="MMR012CMP003"/>
    <x v="3"/>
    <m/>
  </r>
  <r>
    <n v="34.6"/>
    <x v="2"/>
    <x v="116"/>
    <x v="14"/>
    <s v="RI"/>
    <x v="0"/>
    <x v="2"/>
    <s v="Kan Thar Htwat Wa"/>
    <m/>
    <m/>
    <m/>
    <m/>
    <m/>
    <n v="42"/>
    <n v="42"/>
    <m/>
    <n v="42"/>
    <m/>
    <m/>
    <n v="42"/>
    <m/>
    <m/>
    <m/>
    <m/>
    <m/>
    <m/>
    <m/>
    <m/>
    <m/>
    <n v="0"/>
    <n v="0"/>
    <n v="0"/>
    <n v="0"/>
    <n v="0"/>
    <n v="0"/>
    <n v="0"/>
    <n v="0"/>
    <n v="0"/>
    <n v="0"/>
    <n v="0"/>
    <n v="0"/>
    <n v="0"/>
    <n v="0"/>
    <n v="0"/>
    <n v="0"/>
    <s v="MMR012CMP013"/>
    <x v="2"/>
    <m/>
  </r>
  <r>
    <n v="34.6"/>
    <x v="2"/>
    <x v="116"/>
    <x v="14"/>
    <s v="RI"/>
    <x v="0"/>
    <x v="2"/>
    <s v="Taung Paw "/>
    <m/>
    <m/>
    <m/>
    <m/>
    <m/>
    <n v="682"/>
    <n v="682"/>
    <m/>
    <n v="682"/>
    <m/>
    <m/>
    <n v="682"/>
    <m/>
    <m/>
    <m/>
    <m/>
    <m/>
    <m/>
    <m/>
    <m/>
    <m/>
    <n v="0"/>
    <n v="0"/>
    <n v="0"/>
    <n v="0"/>
    <n v="0"/>
    <n v="0"/>
    <n v="0"/>
    <n v="0"/>
    <n v="0"/>
    <n v="0"/>
    <n v="0"/>
    <n v="0"/>
    <n v="0"/>
    <n v="0"/>
    <n v="0"/>
    <n v="0"/>
    <s v="MMR012CMP014"/>
    <x v="0"/>
    <m/>
  </r>
  <r>
    <n v="34.766666666666666"/>
    <x v="2"/>
    <x v="117"/>
    <x v="0"/>
    <s v="UNHCR"/>
    <x v="0"/>
    <x v="0"/>
    <s v="Nidin"/>
    <m/>
    <m/>
    <m/>
    <n v="85"/>
    <m/>
    <n v="170"/>
    <n v="85"/>
    <n v="85"/>
    <n v="85"/>
    <m/>
    <n v="85"/>
    <n v="85"/>
    <n v="425"/>
    <m/>
    <m/>
    <m/>
    <m/>
    <m/>
    <m/>
    <m/>
    <m/>
    <n v="0"/>
    <n v="0"/>
    <n v="0"/>
    <n v="0"/>
    <n v="0"/>
    <n v="0"/>
    <n v="0"/>
    <n v="0"/>
    <n v="0"/>
    <n v="0"/>
    <n v="0"/>
    <n v="0"/>
    <n v="0"/>
    <n v="0"/>
    <n v="0"/>
    <n v="0"/>
    <s v="MMR012CMP023"/>
    <x v="0"/>
    <m/>
  </r>
  <r>
    <n v="36.233333333333334"/>
    <x v="3"/>
    <x v="118"/>
    <x v="18"/>
    <s v="LWF"/>
    <x v="0"/>
    <x v="0"/>
    <s v="Khaung Doke Khar "/>
    <m/>
    <m/>
    <m/>
    <m/>
    <m/>
    <m/>
    <m/>
    <n v="1598"/>
    <m/>
    <m/>
    <m/>
    <m/>
    <m/>
    <m/>
    <m/>
    <m/>
    <m/>
    <m/>
    <m/>
    <m/>
    <m/>
    <n v="0"/>
    <n v="0"/>
    <n v="0"/>
    <n v="0"/>
    <n v="0"/>
    <n v="0"/>
    <n v="0"/>
    <n v="0"/>
    <n v="0"/>
    <n v="0"/>
    <n v="0"/>
    <n v="0"/>
    <n v="0"/>
    <n v="0"/>
    <n v="0"/>
    <n v="0"/>
    <s v=""/>
    <x v="1"/>
    <m/>
  </r>
  <r>
    <n v="36.766666666666666"/>
    <x v="3"/>
    <x v="119"/>
    <x v="2"/>
    <s v="LWF"/>
    <x v="0"/>
    <x v="1"/>
    <s v="Ah Nauk Ywe"/>
    <m/>
    <m/>
    <m/>
    <n v="986"/>
    <m/>
    <n v="1972"/>
    <n v="986"/>
    <n v="1972"/>
    <n v="986"/>
    <m/>
    <n v="968"/>
    <n v="986"/>
    <n v="4930"/>
    <m/>
    <m/>
    <m/>
    <m/>
    <m/>
    <m/>
    <m/>
    <m/>
    <n v="0"/>
    <n v="0"/>
    <n v="0"/>
    <n v="0"/>
    <n v="0"/>
    <n v="0"/>
    <n v="0"/>
    <n v="0"/>
    <n v="0"/>
    <n v="0"/>
    <n v="0"/>
    <n v="0"/>
    <n v="0"/>
    <n v="0"/>
    <n v="0"/>
    <n v="0"/>
    <s v="MMR012CMP016"/>
    <x v="0"/>
    <m/>
  </r>
  <r>
    <n v="36.9"/>
    <x v="3"/>
    <x v="120"/>
    <x v="19"/>
    <s v="LWF"/>
    <x v="0"/>
    <x v="1"/>
    <s v="Nget Chaung"/>
    <m/>
    <m/>
    <m/>
    <m/>
    <m/>
    <n v="1563"/>
    <m/>
    <m/>
    <m/>
    <m/>
    <m/>
    <m/>
    <m/>
    <m/>
    <m/>
    <m/>
    <m/>
    <m/>
    <m/>
    <m/>
    <m/>
    <n v="0"/>
    <n v="0"/>
    <n v="0"/>
    <n v="0"/>
    <n v="0"/>
    <n v="0"/>
    <n v="0"/>
    <n v="0"/>
    <n v="0"/>
    <n v="0"/>
    <n v="0"/>
    <n v="0"/>
    <n v="0"/>
    <n v="0"/>
    <n v="0"/>
    <n v="0"/>
    <s v=""/>
    <x v="1"/>
    <m/>
  </r>
  <r>
    <n v="36.93333333333333"/>
    <x v="3"/>
    <x v="121"/>
    <x v="2"/>
    <s v="LWF"/>
    <x v="0"/>
    <x v="1"/>
    <s v="Ba Wan Chaung Wa Su"/>
    <m/>
    <m/>
    <m/>
    <n v="21"/>
    <m/>
    <n v="42"/>
    <n v="21"/>
    <n v="42"/>
    <n v="21"/>
    <m/>
    <n v="21"/>
    <n v="21"/>
    <n v="105"/>
    <m/>
    <m/>
    <m/>
    <m/>
    <m/>
    <m/>
    <m/>
    <m/>
    <n v="0"/>
    <n v="0"/>
    <n v="0"/>
    <n v="0"/>
    <n v="0"/>
    <n v="0"/>
    <n v="0"/>
    <n v="0"/>
    <n v="0"/>
    <n v="0"/>
    <n v="0"/>
    <n v="0"/>
    <n v="0"/>
    <n v="0"/>
    <n v="0"/>
    <n v="0"/>
    <s v="MMR012CMP015"/>
    <x v="2"/>
    <m/>
  </r>
  <r>
    <n v="37.43333333333333"/>
    <x v="3"/>
    <x v="122"/>
    <x v="0"/>
    <s v="CFSI"/>
    <x v="0"/>
    <x v="3"/>
    <s v="Ah Htet Nan Yar"/>
    <n v="0"/>
    <m/>
    <m/>
    <n v="0"/>
    <n v="0"/>
    <n v="0"/>
    <n v="7"/>
    <n v="0"/>
    <n v="0"/>
    <n v="0"/>
    <n v="0"/>
    <n v="0"/>
    <n v="0"/>
    <m/>
    <m/>
    <m/>
    <m/>
    <m/>
    <m/>
    <m/>
    <m/>
    <n v="0"/>
    <n v="0"/>
    <n v="0"/>
    <n v="0"/>
    <n v="0"/>
    <n v="0"/>
    <n v="0"/>
    <n v="0"/>
    <n v="0"/>
    <n v="0"/>
    <n v="0"/>
    <n v="0"/>
    <n v="0"/>
    <n v="0"/>
    <n v="0"/>
    <n v="0"/>
    <s v=""/>
    <x v="1"/>
    <m/>
  </r>
  <r>
    <n v="37.666666666666664"/>
    <x v="3"/>
    <x v="123"/>
    <x v="0"/>
    <s v="CFSI"/>
    <x v="0"/>
    <x v="3"/>
    <s v="Ah Nauk Pyin"/>
    <n v="0"/>
    <m/>
    <m/>
    <n v="0"/>
    <n v="0"/>
    <n v="0"/>
    <n v="5"/>
    <n v="0"/>
    <n v="0"/>
    <n v="0"/>
    <n v="0"/>
    <n v="0"/>
    <n v="0"/>
    <m/>
    <m/>
    <m/>
    <m/>
    <m/>
    <m/>
    <m/>
    <m/>
    <n v="0"/>
    <n v="0"/>
    <n v="0"/>
    <n v="0"/>
    <n v="0"/>
    <n v="0"/>
    <n v="0"/>
    <n v="0"/>
    <n v="0"/>
    <n v="0"/>
    <n v="0"/>
    <n v="0"/>
    <n v="0"/>
    <n v="0"/>
    <n v="0"/>
    <n v="0"/>
    <s v="MMR012CMP032"/>
    <x v="3"/>
    <m/>
  </r>
  <r>
    <n v="38.299999999999997"/>
    <x v="3"/>
    <x v="124"/>
    <x v="0"/>
    <s v="LWF"/>
    <x v="0"/>
    <x v="0"/>
    <s v="Khaung Doke Khar "/>
    <m/>
    <m/>
    <m/>
    <m/>
    <m/>
    <n v="252"/>
    <n v="127"/>
    <n v="252"/>
    <n v="127"/>
    <m/>
    <n v="127"/>
    <n v="127"/>
    <n v="635"/>
    <m/>
    <m/>
    <m/>
    <m/>
    <m/>
    <m/>
    <m/>
    <m/>
    <n v="0"/>
    <n v="0"/>
    <n v="0"/>
    <n v="0"/>
    <n v="0"/>
    <n v="0"/>
    <n v="0"/>
    <n v="0"/>
    <n v="0"/>
    <n v="0"/>
    <n v="0"/>
    <n v="0"/>
    <n v="0"/>
    <n v="0"/>
    <n v="0"/>
    <n v="0"/>
    <s v=""/>
    <x v="1"/>
    <m/>
  </r>
  <r>
    <n v="38.299999999999997"/>
    <x v="3"/>
    <x v="124"/>
    <x v="2"/>
    <s v="LWF"/>
    <x v="0"/>
    <x v="0"/>
    <s v="Khaung Doke Khar "/>
    <m/>
    <m/>
    <m/>
    <m/>
    <m/>
    <s v="2"/>
    <n v="1"/>
    <s v="2"/>
    <s v="1"/>
    <m/>
    <s v="1"/>
    <m/>
    <s v="5"/>
    <m/>
    <m/>
    <m/>
    <m/>
    <m/>
    <m/>
    <m/>
    <m/>
    <n v="0"/>
    <n v="0"/>
    <n v="0"/>
    <n v="0"/>
    <n v="0"/>
    <n v="0"/>
    <n v="0"/>
    <n v="0"/>
    <n v="0"/>
    <n v="0"/>
    <n v="0"/>
    <n v="0"/>
    <n v="0"/>
    <n v="0"/>
    <n v="0"/>
    <n v="0"/>
    <s v=""/>
    <x v="1"/>
    <m/>
  </r>
  <r>
    <n v="39"/>
    <x v="3"/>
    <x v="125"/>
    <x v="0"/>
    <s v="DRC"/>
    <x v="0"/>
    <x v="0"/>
    <s v="Say Tha Mar Gyi"/>
    <m/>
    <m/>
    <m/>
    <m/>
    <m/>
    <n v="730"/>
    <n v="365"/>
    <n v="730"/>
    <n v="365"/>
    <m/>
    <n v="365"/>
    <n v="365"/>
    <n v="1825"/>
    <m/>
    <m/>
    <m/>
    <m/>
    <m/>
    <m/>
    <m/>
    <m/>
    <n v="0"/>
    <n v="0"/>
    <n v="0"/>
    <n v="0"/>
    <n v="0"/>
    <n v="0"/>
    <n v="0"/>
    <n v="0"/>
    <n v="0"/>
    <n v="0"/>
    <n v="0"/>
    <n v="0"/>
    <n v="0"/>
    <n v="0"/>
    <n v="0"/>
    <n v="0"/>
    <s v="MMR012CMP045"/>
    <x v="0"/>
    <m/>
  </r>
  <r>
    <n v="39"/>
    <x v="3"/>
    <x v="125"/>
    <x v="0"/>
    <s v="CFSI"/>
    <x v="0"/>
    <x v="3"/>
    <s v="Chein Khar Li"/>
    <n v="0"/>
    <m/>
    <m/>
    <n v="0"/>
    <n v="0"/>
    <n v="0"/>
    <n v="10"/>
    <n v="0"/>
    <n v="0"/>
    <n v="0"/>
    <n v="0"/>
    <n v="0"/>
    <n v="0"/>
    <m/>
    <m/>
    <m/>
    <m/>
    <m/>
    <m/>
    <m/>
    <m/>
    <n v="0"/>
    <n v="0"/>
    <n v="0"/>
    <n v="0"/>
    <n v="0"/>
    <n v="0"/>
    <n v="0"/>
    <n v="0"/>
    <n v="0"/>
    <n v="0"/>
    <n v="0"/>
    <n v="0"/>
    <n v="0"/>
    <n v="0"/>
    <n v="0"/>
    <n v="0"/>
    <s v=""/>
    <x v="1"/>
    <m/>
  </r>
  <r>
    <n v="40.200000000000003"/>
    <x v="3"/>
    <x v="126"/>
    <x v="0"/>
    <s v="DRC"/>
    <x v="0"/>
    <x v="0"/>
    <s v="Say Tha Mar Gyi"/>
    <m/>
    <m/>
    <m/>
    <n v="273"/>
    <m/>
    <n v="546"/>
    <n v="273"/>
    <n v="546"/>
    <n v="273"/>
    <m/>
    <n v="273"/>
    <n v="273"/>
    <n v="1365"/>
    <m/>
    <m/>
    <m/>
    <m/>
    <m/>
    <m/>
    <m/>
    <m/>
    <n v="0"/>
    <n v="0"/>
    <n v="0"/>
    <n v="0"/>
    <n v="0"/>
    <n v="0"/>
    <n v="0"/>
    <n v="0"/>
    <n v="0"/>
    <n v="0"/>
    <n v="0"/>
    <n v="0"/>
    <n v="0"/>
    <n v="0"/>
    <n v="0"/>
    <n v="0"/>
    <s v="MMR012CMP045"/>
    <x v="0"/>
    <m/>
  </r>
  <r>
    <n v="40.200000000000003"/>
    <x v="3"/>
    <x v="126"/>
    <x v="0"/>
    <s v="LWF"/>
    <x v="0"/>
    <x v="0"/>
    <s v="Basare"/>
    <m/>
    <m/>
    <m/>
    <n v="59"/>
    <m/>
    <n v="6"/>
    <n v="3"/>
    <n v="6"/>
    <n v="3"/>
    <m/>
    <n v="3"/>
    <n v="3"/>
    <n v="15"/>
    <m/>
    <m/>
    <m/>
    <m/>
    <m/>
    <m/>
    <m/>
    <m/>
    <n v="0"/>
    <n v="0"/>
    <n v="0"/>
    <n v="0"/>
    <n v="0"/>
    <n v="0"/>
    <n v="0"/>
    <n v="0"/>
    <n v="0"/>
    <n v="0"/>
    <n v="0"/>
    <n v="0"/>
    <n v="0"/>
    <n v="0"/>
    <n v="0"/>
    <n v="0"/>
    <s v="MMR012CMP039"/>
    <x v="0"/>
    <m/>
  </r>
  <r>
    <n v="40.200000000000003"/>
    <x v="3"/>
    <x v="126"/>
    <x v="0"/>
    <s v="LWF"/>
    <x v="0"/>
    <x v="0"/>
    <s v="Khaung Doke Khar "/>
    <m/>
    <m/>
    <m/>
    <n v="160"/>
    <m/>
    <n v="96"/>
    <n v="48"/>
    <n v="96"/>
    <n v="48"/>
    <m/>
    <n v="48"/>
    <n v="48"/>
    <n v="240"/>
    <m/>
    <m/>
    <m/>
    <m/>
    <m/>
    <m/>
    <m/>
    <m/>
    <n v="0"/>
    <n v="0"/>
    <n v="0"/>
    <n v="0"/>
    <n v="0"/>
    <n v="0"/>
    <n v="0"/>
    <n v="0"/>
    <n v="0"/>
    <n v="0"/>
    <n v="0"/>
    <n v="0"/>
    <n v="0"/>
    <n v="0"/>
    <n v="0"/>
    <n v="0"/>
    <s v=""/>
    <x v="1"/>
    <m/>
  </r>
  <r>
    <n v="40.333333333333336"/>
    <x v="3"/>
    <x v="127"/>
    <x v="0"/>
    <s v="Save the Children"/>
    <x v="0"/>
    <x v="1"/>
    <s v="Kyein Ni Pyin"/>
    <m/>
    <m/>
    <m/>
    <m/>
    <m/>
    <n v="62"/>
    <n v="31"/>
    <n v="62"/>
    <n v="31"/>
    <m/>
    <n v="31"/>
    <n v="31"/>
    <n v="155"/>
    <m/>
    <m/>
    <m/>
    <m/>
    <m/>
    <m/>
    <m/>
    <m/>
    <n v="0"/>
    <n v="0"/>
    <n v="0"/>
    <n v="0"/>
    <n v="0"/>
    <n v="0"/>
    <n v="0"/>
    <n v="0"/>
    <n v="0"/>
    <n v="0"/>
    <n v="0"/>
    <n v="0"/>
    <n v="0"/>
    <n v="0"/>
    <n v="0"/>
    <n v="0"/>
    <s v="MMR012CMP018"/>
    <x v="0"/>
    <m/>
  </r>
  <r>
    <n v="40.833333333333336"/>
    <x v="3"/>
    <x v="128"/>
    <x v="0"/>
    <s v="Save the Children"/>
    <x v="0"/>
    <x v="0"/>
    <s v="Thet Kae Pyin "/>
    <m/>
    <m/>
    <m/>
    <n v="984"/>
    <m/>
    <n v="1968"/>
    <n v="984"/>
    <n v="1968"/>
    <n v="984"/>
    <m/>
    <n v="984"/>
    <n v="984"/>
    <n v="4920"/>
    <m/>
    <m/>
    <m/>
    <m/>
    <m/>
    <m/>
    <m/>
    <m/>
    <n v="0"/>
    <n v="0"/>
    <n v="0"/>
    <n v="0"/>
    <n v="0"/>
    <n v="0"/>
    <n v="0"/>
    <n v="0"/>
    <n v="0"/>
    <n v="0"/>
    <n v="0"/>
    <n v="0"/>
    <n v="0"/>
    <n v="0"/>
    <n v="0"/>
    <n v="0"/>
    <s v="MMR012CMP048"/>
    <x v="0"/>
    <m/>
  </r>
  <r>
    <n v="40.866666666666667"/>
    <x v="3"/>
    <x v="129"/>
    <x v="0"/>
    <s v="UNHCR"/>
    <x v="0"/>
    <x v="3"/>
    <s v="Koe Tan Kauk"/>
    <n v="0"/>
    <m/>
    <m/>
    <n v="0"/>
    <n v="0"/>
    <n v="0"/>
    <n v="217"/>
    <n v="0"/>
    <n v="0"/>
    <n v="0"/>
    <n v="0"/>
    <n v="0"/>
    <n v="0"/>
    <m/>
    <m/>
    <m/>
    <m/>
    <m/>
    <m/>
    <m/>
    <m/>
    <n v="0"/>
    <n v="0"/>
    <n v="0"/>
    <n v="0"/>
    <n v="0"/>
    <n v="0"/>
    <n v="0"/>
    <n v="0"/>
    <n v="0"/>
    <n v="0"/>
    <n v="0"/>
    <n v="0"/>
    <n v="0"/>
    <n v="0"/>
    <n v="0"/>
    <n v="0"/>
    <s v=""/>
    <x v="1"/>
    <m/>
  </r>
  <r>
    <n v="40.866666666666667"/>
    <x v="3"/>
    <x v="129"/>
    <x v="0"/>
    <s v="UNHCR"/>
    <x v="0"/>
    <x v="3"/>
    <s v="Chein Khar Li"/>
    <n v="0"/>
    <m/>
    <m/>
    <n v="0"/>
    <n v="0"/>
    <n v="0"/>
    <n v="167"/>
    <n v="0"/>
    <n v="0"/>
    <n v="0"/>
    <n v="0"/>
    <n v="0"/>
    <n v="0"/>
    <m/>
    <m/>
    <m/>
    <m/>
    <m/>
    <m/>
    <m/>
    <m/>
    <n v="0"/>
    <n v="0"/>
    <n v="0"/>
    <n v="0"/>
    <n v="0"/>
    <n v="0"/>
    <n v="0"/>
    <n v="0"/>
    <n v="0"/>
    <n v="0"/>
    <n v="0"/>
    <n v="0"/>
    <n v="0"/>
    <n v="0"/>
    <n v="0"/>
    <n v="0"/>
    <s v=""/>
    <x v="1"/>
    <m/>
  </r>
  <r>
    <n v="41.333333333333336"/>
    <x v="3"/>
    <x v="130"/>
    <x v="0"/>
    <s v="Save the Children"/>
    <x v="0"/>
    <x v="0"/>
    <s v="Maw Ti Ngar"/>
    <m/>
    <m/>
    <m/>
    <n v="624"/>
    <m/>
    <n v="1248"/>
    <n v="624"/>
    <n v="1248"/>
    <n v="624"/>
    <m/>
    <n v="624"/>
    <n v="624"/>
    <n v="3120"/>
    <m/>
    <m/>
    <m/>
    <m/>
    <m/>
    <m/>
    <m/>
    <m/>
    <n v="0"/>
    <n v="0"/>
    <n v="0"/>
    <n v="0"/>
    <n v="0"/>
    <n v="0"/>
    <n v="0"/>
    <n v="0"/>
    <n v="0"/>
    <n v="0"/>
    <n v="0"/>
    <n v="0"/>
    <n v="0"/>
    <n v="0"/>
    <n v="0"/>
    <n v="0"/>
    <s v="MMR012CMP092"/>
    <x v="0"/>
    <m/>
  </r>
  <r>
    <n v="41.766666666666666"/>
    <x v="3"/>
    <x v="131"/>
    <x v="0"/>
    <s v="UNHCR"/>
    <x v="0"/>
    <x v="4"/>
    <s v="Yun Nyar"/>
    <m/>
    <m/>
    <m/>
    <m/>
    <m/>
    <m/>
    <n v="112"/>
    <m/>
    <m/>
    <m/>
    <m/>
    <m/>
    <m/>
    <m/>
    <m/>
    <m/>
    <m/>
    <m/>
    <m/>
    <m/>
    <m/>
    <n v="0"/>
    <n v="0"/>
    <n v="0"/>
    <n v="0"/>
    <n v="0"/>
    <n v="0"/>
    <n v="0"/>
    <n v="0"/>
    <n v="0"/>
    <n v="0"/>
    <n v="0"/>
    <n v="0"/>
    <n v="0"/>
    <n v="0"/>
    <n v="0"/>
    <n v="0"/>
    <s v="MMR012CMP028"/>
    <x v="3"/>
    <m/>
  </r>
  <r>
    <n v="41.766666666666666"/>
    <x v="3"/>
    <x v="131"/>
    <x v="0"/>
    <s v="UNHCR"/>
    <x v="0"/>
    <x v="4"/>
    <s v="Shwe Hlaing"/>
    <m/>
    <m/>
    <m/>
    <m/>
    <m/>
    <m/>
    <n v="138"/>
    <m/>
    <m/>
    <m/>
    <m/>
    <m/>
    <m/>
    <m/>
    <m/>
    <m/>
    <m/>
    <m/>
    <m/>
    <m/>
    <m/>
    <n v="0"/>
    <n v="0"/>
    <n v="0"/>
    <n v="0"/>
    <n v="0"/>
    <n v="0"/>
    <n v="0"/>
    <n v="0"/>
    <n v="0"/>
    <n v="0"/>
    <n v="0"/>
    <n v="0"/>
    <n v="0"/>
    <n v="0"/>
    <n v="0"/>
    <n v="0"/>
    <s v="MMR012CMP029"/>
    <x v="3"/>
    <m/>
  </r>
  <r>
    <n v="41.8"/>
    <x v="3"/>
    <x v="132"/>
    <x v="0"/>
    <s v="UNHCR"/>
    <x v="0"/>
    <x v="4"/>
    <s v="Nidin"/>
    <m/>
    <m/>
    <m/>
    <m/>
    <m/>
    <m/>
    <n v="85"/>
    <m/>
    <m/>
    <m/>
    <m/>
    <m/>
    <m/>
    <m/>
    <m/>
    <m/>
    <m/>
    <m/>
    <m/>
    <m/>
    <m/>
    <n v="0"/>
    <n v="0"/>
    <n v="0"/>
    <n v="0"/>
    <n v="0"/>
    <n v="0"/>
    <n v="0"/>
    <n v="0"/>
    <n v="0"/>
    <n v="0"/>
    <n v="0"/>
    <n v="0"/>
    <n v="0"/>
    <n v="0"/>
    <n v="0"/>
    <n v="0"/>
    <s v="MMR012CMP023"/>
    <x v="0"/>
    <m/>
  </r>
  <r>
    <n v="41.8"/>
    <x v="3"/>
    <x v="132"/>
    <x v="0"/>
    <s v="UNHCR"/>
    <x v="0"/>
    <x v="4"/>
    <s v="Khaung Htoke"/>
    <m/>
    <m/>
    <m/>
    <m/>
    <m/>
    <m/>
    <n v="97"/>
    <m/>
    <m/>
    <m/>
    <m/>
    <m/>
    <m/>
    <m/>
    <m/>
    <m/>
    <m/>
    <m/>
    <m/>
    <m/>
    <m/>
    <n v="0"/>
    <n v="0"/>
    <n v="0"/>
    <n v="0"/>
    <n v="0"/>
    <n v="0"/>
    <n v="0"/>
    <n v="0"/>
    <n v="0"/>
    <n v="0"/>
    <n v="0"/>
    <n v="0"/>
    <n v="0"/>
    <n v="0"/>
    <n v="0"/>
    <n v="0"/>
    <s v="MMR012CMP030"/>
    <x v="2"/>
    <m/>
  </r>
  <r>
    <n v="41.833333333333336"/>
    <x v="3"/>
    <x v="133"/>
    <x v="0"/>
    <s v="UNHCR"/>
    <x v="0"/>
    <x v="4"/>
    <s v="In Bar Yi"/>
    <m/>
    <m/>
    <m/>
    <m/>
    <m/>
    <m/>
    <n v="236"/>
    <m/>
    <m/>
    <m/>
    <m/>
    <m/>
    <m/>
    <m/>
    <m/>
    <m/>
    <m/>
    <m/>
    <m/>
    <m/>
    <m/>
    <n v="0"/>
    <n v="0"/>
    <n v="0"/>
    <n v="0"/>
    <n v="0"/>
    <n v="0"/>
    <n v="0"/>
    <n v="0"/>
    <n v="0"/>
    <n v="0"/>
    <n v="0"/>
    <n v="0"/>
    <n v="0"/>
    <n v="0"/>
    <n v="0"/>
    <n v="0"/>
    <s v="MMR012CMP026"/>
    <x v="3"/>
    <m/>
  </r>
  <r>
    <n v="41.833333333333336"/>
    <x v="3"/>
    <x v="133"/>
    <x v="0"/>
    <s v="UNHCR"/>
    <x v="0"/>
    <x v="4"/>
    <s v="Ah Pauk Wa "/>
    <m/>
    <m/>
    <m/>
    <m/>
    <m/>
    <m/>
    <n v="92"/>
    <m/>
    <m/>
    <m/>
    <m/>
    <m/>
    <m/>
    <m/>
    <m/>
    <m/>
    <m/>
    <m/>
    <m/>
    <m/>
    <m/>
    <n v="0"/>
    <n v="0"/>
    <n v="0"/>
    <n v="0"/>
    <n v="0"/>
    <n v="0"/>
    <n v="0"/>
    <n v="0"/>
    <n v="0"/>
    <n v="0"/>
    <n v="0"/>
    <n v="0"/>
    <n v="0"/>
    <n v="0"/>
    <n v="0"/>
    <n v="0"/>
    <s v="MMR012CMP024"/>
    <x v="3"/>
    <m/>
  </r>
  <r>
    <n v="41.833333333333336"/>
    <x v="3"/>
    <x v="133"/>
    <x v="0"/>
    <s v="UNHCR"/>
    <x v="0"/>
    <x v="4"/>
    <s v="Goke Pi Htaunt"/>
    <m/>
    <m/>
    <m/>
    <m/>
    <m/>
    <m/>
    <n v="116"/>
    <m/>
    <m/>
    <m/>
    <m/>
    <m/>
    <m/>
    <m/>
    <m/>
    <m/>
    <m/>
    <m/>
    <m/>
    <m/>
    <m/>
    <n v="0"/>
    <n v="0"/>
    <n v="0"/>
    <n v="0"/>
    <n v="0"/>
    <n v="0"/>
    <n v="0"/>
    <n v="0"/>
    <n v="0"/>
    <n v="0"/>
    <n v="0"/>
    <n v="0"/>
    <n v="0"/>
    <n v="0"/>
    <n v="0"/>
    <n v="0"/>
    <s v="MMR012CMP027"/>
    <x v="3"/>
    <m/>
  </r>
  <r>
    <n v="41.866666666666667"/>
    <x v="3"/>
    <x v="134"/>
    <x v="0"/>
    <s v="UNHCR"/>
    <x v="0"/>
    <x v="6"/>
    <s v="Tha Dar"/>
    <m/>
    <m/>
    <m/>
    <m/>
    <m/>
    <m/>
    <n v="16"/>
    <m/>
    <m/>
    <m/>
    <m/>
    <m/>
    <m/>
    <m/>
    <m/>
    <m/>
    <m/>
    <m/>
    <m/>
    <m/>
    <m/>
    <n v="0"/>
    <n v="0"/>
    <n v="0"/>
    <n v="0"/>
    <n v="0"/>
    <n v="0"/>
    <n v="0"/>
    <n v="0"/>
    <n v="0"/>
    <n v="0"/>
    <n v="0"/>
    <n v="0"/>
    <n v="0"/>
    <n v="0"/>
    <n v="0"/>
    <n v="0"/>
    <s v="MMR012CMP002"/>
    <x v="3"/>
    <m/>
  </r>
  <r>
    <n v="42.133333333333333"/>
    <x v="3"/>
    <x v="135"/>
    <x v="0"/>
    <s v="CFSI"/>
    <x v="0"/>
    <x v="3"/>
    <s v="Koe Tan Kauk"/>
    <n v="0"/>
    <m/>
    <m/>
    <n v="0"/>
    <n v="0"/>
    <n v="0"/>
    <n v="10"/>
    <n v="0"/>
    <n v="0"/>
    <n v="0"/>
    <n v="0"/>
    <n v="0"/>
    <n v="0"/>
    <m/>
    <m/>
    <m/>
    <m/>
    <m/>
    <m/>
    <m/>
    <m/>
    <n v="0"/>
    <n v="0"/>
    <n v="0"/>
    <n v="0"/>
    <n v="0"/>
    <n v="0"/>
    <n v="0"/>
    <n v="0"/>
    <n v="0"/>
    <n v="0"/>
    <n v="0"/>
    <n v="0"/>
    <n v="0"/>
    <n v="0"/>
    <n v="0"/>
    <n v="0"/>
    <s v=""/>
    <x v="1"/>
    <m/>
  </r>
  <r>
    <n v="42.133333333333333"/>
    <x v="3"/>
    <x v="135"/>
    <x v="0"/>
    <s v="CFSI"/>
    <x v="0"/>
    <x v="3"/>
    <s v="Chein Khar Li"/>
    <n v="0"/>
    <m/>
    <m/>
    <n v="0"/>
    <n v="0"/>
    <n v="0"/>
    <n v="20"/>
    <n v="0"/>
    <n v="0"/>
    <n v="0"/>
    <n v="0"/>
    <n v="0"/>
    <n v="0"/>
    <m/>
    <m/>
    <m/>
    <m/>
    <m/>
    <m/>
    <m/>
    <m/>
    <n v="0"/>
    <n v="0"/>
    <n v="0"/>
    <n v="0"/>
    <n v="0"/>
    <n v="0"/>
    <n v="0"/>
    <n v="0"/>
    <n v="0"/>
    <n v="0"/>
    <n v="0"/>
    <n v="0"/>
    <n v="0"/>
    <n v="0"/>
    <n v="0"/>
    <n v="0"/>
    <s v=""/>
    <x v="1"/>
    <m/>
  </r>
  <r>
    <n v="42.133333333333333"/>
    <x v="3"/>
    <x v="135"/>
    <x v="0"/>
    <s v="CFSI"/>
    <x v="0"/>
    <x v="3"/>
    <s v="Ah Htet Nan Yar"/>
    <n v="0"/>
    <m/>
    <m/>
    <n v="0"/>
    <n v="0"/>
    <n v="0"/>
    <n v="10"/>
    <n v="0"/>
    <n v="0"/>
    <n v="0"/>
    <n v="0"/>
    <n v="0"/>
    <n v="0"/>
    <m/>
    <m/>
    <m/>
    <m/>
    <m/>
    <m/>
    <m/>
    <m/>
    <n v="0"/>
    <n v="0"/>
    <n v="0"/>
    <n v="0"/>
    <n v="0"/>
    <n v="0"/>
    <n v="0"/>
    <n v="0"/>
    <n v="0"/>
    <n v="0"/>
    <n v="0"/>
    <n v="0"/>
    <n v="0"/>
    <n v="0"/>
    <n v="0"/>
    <n v="0"/>
    <s v=""/>
    <x v="1"/>
    <m/>
  </r>
  <r>
    <n v="42.266666666666666"/>
    <x v="3"/>
    <x v="136"/>
    <x v="0"/>
    <s v="UNHCR"/>
    <x v="0"/>
    <x v="6"/>
    <s v="Tha Dar"/>
    <m/>
    <m/>
    <m/>
    <m/>
    <m/>
    <m/>
    <n v="187"/>
    <m/>
    <m/>
    <m/>
    <m/>
    <m/>
    <m/>
    <m/>
    <m/>
    <m/>
    <m/>
    <m/>
    <m/>
    <m/>
    <m/>
    <n v="0"/>
    <n v="0"/>
    <n v="0"/>
    <n v="0"/>
    <n v="0"/>
    <n v="0"/>
    <n v="0"/>
    <n v="0"/>
    <n v="0"/>
    <n v="0"/>
    <n v="0"/>
    <n v="0"/>
    <n v="0"/>
    <n v="0"/>
    <n v="0"/>
    <n v="0"/>
    <s v="MMR012CMP002"/>
    <x v="3"/>
    <m/>
  </r>
  <r>
    <n v="42.266666666666666"/>
    <x v="3"/>
    <x v="136"/>
    <x v="0"/>
    <s v="UNHCR"/>
    <x v="0"/>
    <x v="6"/>
    <s v="San Htoe Tan"/>
    <m/>
    <m/>
    <m/>
    <m/>
    <m/>
    <m/>
    <n v="90"/>
    <m/>
    <m/>
    <m/>
    <m/>
    <m/>
    <m/>
    <m/>
    <m/>
    <m/>
    <m/>
    <m/>
    <m/>
    <m/>
    <m/>
    <n v="0"/>
    <n v="0"/>
    <n v="0"/>
    <n v="0"/>
    <n v="0"/>
    <n v="0"/>
    <n v="0"/>
    <n v="0"/>
    <n v="0"/>
    <n v="0"/>
    <n v="0"/>
    <n v="0"/>
    <n v="0"/>
    <n v="0"/>
    <n v="0"/>
    <n v="0"/>
    <s v="MMR012CMP003"/>
    <x v="3"/>
    <m/>
  </r>
  <r>
    <n v="42.266666666666666"/>
    <x v="3"/>
    <x v="136"/>
    <x v="0"/>
    <s v="UNHCR"/>
    <x v="0"/>
    <x v="6"/>
    <s v="Aung Taing"/>
    <m/>
    <m/>
    <m/>
    <m/>
    <m/>
    <m/>
    <n v="86"/>
    <m/>
    <m/>
    <m/>
    <m/>
    <m/>
    <m/>
    <m/>
    <m/>
    <m/>
    <m/>
    <m/>
    <m/>
    <m/>
    <m/>
    <n v="0"/>
    <n v="0"/>
    <n v="0"/>
    <n v="0"/>
    <n v="0"/>
    <n v="0"/>
    <n v="0"/>
    <n v="0"/>
    <n v="0"/>
    <n v="0"/>
    <n v="0"/>
    <n v="0"/>
    <n v="0"/>
    <n v="0"/>
    <n v="0"/>
    <n v="0"/>
    <s v="MMR012CMP006"/>
    <x v="3"/>
    <m/>
  </r>
  <r>
    <n v="42.266666666666666"/>
    <x v="3"/>
    <x v="136"/>
    <x v="0"/>
    <s v="UNHCR"/>
    <x v="0"/>
    <x v="6"/>
    <s v="Sam Ba Le"/>
    <m/>
    <m/>
    <m/>
    <m/>
    <m/>
    <m/>
    <n v="225"/>
    <m/>
    <m/>
    <m/>
    <m/>
    <m/>
    <m/>
    <m/>
    <m/>
    <m/>
    <m/>
    <m/>
    <m/>
    <m/>
    <m/>
    <n v="0"/>
    <n v="0"/>
    <n v="0"/>
    <n v="0"/>
    <n v="0"/>
    <n v="0"/>
    <n v="0"/>
    <n v="0"/>
    <n v="0"/>
    <n v="0"/>
    <n v="0"/>
    <n v="0"/>
    <n v="0"/>
    <n v="0"/>
    <n v="0"/>
    <n v="0"/>
    <s v="MMR012CMP008"/>
    <x v="3"/>
    <m/>
  </r>
  <r>
    <n v="42.3"/>
    <x v="3"/>
    <x v="137"/>
    <x v="0"/>
    <s v="UNHCR"/>
    <x v="0"/>
    <x v="7"/>
    <s v="Pa Rein"/>
    <m/>
    <m/>
    <m/>
    <m/>
    <m/>
    <m/>
    <n v="56"/>
    <m/>
    <m/>
    <m/>
    <m/>
    <m/>
    <m/>
    <m/>
    <m/>
    <m/>
    <m/>
    <m/>
    <m/>
    <m/>
    <m/>
    <n v="0"/>
    <n v="0"/>
    <n v="0"/>
    <n v="0"/>
    <n v="0"/>
    <n v="0"/>
    <n v="0"/>
    <n v="0"/>
    <n v="0"/>
    <n v="0"/>
    <n v="0"/>
    <n v="0"/>
    <n v="0"/>
    <n v="0"/>
    <n v="0"/>
    <n v="0"/>
    <s v="MMR012CMP009"/>
    <x v="3"/>
    <m/>
  </r>
  <r>
    <n v="42.3"/>
    <x v="3"/>
    <x v="137"/>
    <x v="0"/>
    <s v="UNHCR"/>
    <x v="0"/>
    <x v="7"/>
    <s v="Yai Thei-Muslim"/>
    <m/>
    <m/>
    <m/>
    <m/>
    <m/>
    <m/>
    <n v="55"/>
    <m/>
    <m/>
    <m/>
    <m/>
    <m/>
    <m/>
    <m/>
    <m/>
    <m/>
    <m/>
    <m/>
    <m/>
    <m/>
    <m/>
    <n v="0"/>
    <n v="0"/>
    <n v="0"/>
    <n v="0"/>
    <n v="0"/>
    <n v="0"/>
    <n v="0"/>
    <n v="0"/>
    <n v="0"/>
    <n v="0"/>
    <n v="0"/>
    <n v="0"/>
    <n v="0"/>
    <n v="0"/>
    <n v="0"/>
    <n v="0"/>
    <s v="MMR012CMP010"/>
    <x v="3"/>
    <m/>
  </r>
  <r>
    <n v="42.3"/>
    <x v="3"/>
    <x v="137"/>
    <x v="0"/>
    <s v="UNHCR"/>
    <x v="0"/>
    <x v="6"/>
    <s v="Tha Yet Oak"/>
    <m/>
    <m/>
    <m/>
    <m/>
    <m/>
    <m/>
    <n v="275"/>
    <m/>
    <m/>
    <m/>
    <m/>
    <m/>
    <m/>
    <m/>
    <m/>
    <m/>
    <m/>
    <m/>
    <m/>
    <m/>
    <m/>
    <n v="0"/>
    <n v="0"/>
    <n v="0"/>
    <n v="0"/>
    <n v="0"/>
    <n v="0"/>
    <n v="0"/>
    <n v="0"/>
    <n v="0"/>
    <n v="0"/>
    <n v="0"/>
    <n v="0"/>
    <n v="0"/>
    <n v="0"/>
    <n v="0"/>
    <n v="0"/>
    <s v="MMR012CMP005"/>
    <x v="3"/>
    <m/>
  </r>
  <r>
    <n v="43"/>
    <x v="3"/>
    <x v="138"/>
    <x v="0"/>
    <s v="DRC"/>
    <x v="0"/>
    <x v="0"/>
    <s v="Ohn Taw Chay"/>
    <n v="0"/>
    <m/>
    <m/>
    <n v="140"/>
    <n v="0"/>
    <n v="1298"/>
    <n v="649"/>
    <n v="1298"/>
    <n v="649"/>
    <n v="509"/>
    <n v="649"/>
    <n v="649"/>
    <n v="3245"/>
    <m/>
    <m/>
    <m/>
    <m/>
    <m/>
    <m/>
    <m/>
    <m/>
    <n v="0"/>
    <n v="0"/>
    <n v="0"/>
    <n v="0"/>
    <n v="0"/>
    <n v="0"/>
    <n v="0"/>
    <n v="0"/>
    <n v="0"/>
    <n v="0"/>
    <n v="0"/>
    <n v="0"/>
    <n v="0"/>
    <n v="0"/>
    <n v="0"/>
    <n v="0"/>
    <s v="MMR012CMP098"/>
    <x v="0"/>
    <m/>
  </r>
  <r>
    <n v="43.266666666666666"/>
    <x v="3"/>
    <x v="139"/>
    <x v="0"/>
    <s v="Save the Children"/>
    <x v="0"/>
    <x v="0"/>
    <s v="Sat Roe Kya 1"/>
    <n v="0"/>
    <m/>
    <m/>
    <m/>
    <n v="0"/>
    <n v="498"/>
    <n v="249"/>
    <n v="498"/>
    <n v="249"/>
    <n v="0"/>
    <n v="249"/>
    <n v="249"/>
    <n v="1245"/>
    <m/>
    <m/>
    <m/>
    <m/>
    <m/>
    <m/>
    <m/>
    <m/>
    <n v="0"/>
    <n v="0"/>
    <n v="0"/>
    <n v="0"/>
    <n v="0"/>
    <n v="0"/>
    <n v="0"/>
    <n v="0"/>
    <n v="0"/>
    <n v="0"/>
    <n v="0"/>
    <n v="0"/>
    <n v="0"/>
    <n v="0"/>
    <n v="0"/>
    <n v="0"/>
    <s v="MMR012CMP111"/>
    <x v="2"/>
    <m/>
  </r>
  <r>
    <n v="43.43333333333333"/>
    <x v="3"/>
    <x v="140"/>
    <x v="0"/>
    <s v="LWF"/>
    <x v="0"/>
    <x v="0"/>
    <s v="Thae Chaung"/>
    <m/>
    <m/>
    <m/>
    <n v="2145"/>
    <m/>
    <n v="4290"/>
    <n v="2145"/>
    <n v="4290"/>
    <n v="2145"/>
    <m/>
    <n v="2145"/>
    <n v="2145"/>
    <n v="10725"/>
    <m/>
    <m/>
    <m/>
    <m/>
    <m/>
    <m/>
    <m/>
    <m/>
    <n v="0"/>
    <n v="0"/>
    <n v="0"/>
    <n v="0"/>
    <n v="0"/>
    <n v="0"/>
    <n v="0"/>
    <n v="0"/>
    <n v="0"/>
    <n v="0"/>
    <n v="0"/>
    <n v="0"/>
    <n v="0"/>
    <n v="0"/>
    <n v="0"/>
    <n v="0"/>
    <s v="MMR012CMP046"/>
    <x v="0"/>
    <m/>
  </r>
  <r>
    <n v="43.466666666666669"/>
    <x v="3"/>
    <x v="141"/>
    <x v="1"/>
    <s v="DRC"/>
    <x v="0"/>
    <x v="0"/>
    <s v="Dar Pai"/>
    <n v="0"/>
    <m/>
    <m/>
    <n v="1364"/>
    <n v="0"/>
    <n v="2728"/>
    <n v="1364"/>
    <n v="2728"/>
    <n v="1364"/>
    <n v="0"/>
    <n v="1364"/>
    <n v="1364"/>
    <n v="6820"/>
    <m/>
    <m/>
    <m/>
    <m/>
    <m/>
    <m/>
    <m/>
    <m/>
    <n v="0"/>
    <n v="0"/>
    <n v="0"/>
    <n v="0"/>
    <n v="0"/>
    <n v="0"/>
    <n v="0"/>
    <n v="0"/>
    <n v="0"/>
    <n v="0"/>
    <n v="0"/>
    <n v="0"/>
    <n v="0"/>
    <n v="0"/>
    <n v="0"/>
    <n v="0"/>
    <s v="MMR012CMP041"/>
    <x v="0"/>
    <m/>
  </r>
  <r>
    <n v="43.5"/>
    <x v="3"/>
    <x v="142"/>
    <x v="0"/>
    <s v="UNHCR"/>
    <x v="0"/>
    <x v="3"/>
    <s v="Chein Khar Li"/>
    <n v="0"/>
    <m/>
    <m/>
    <n v="7"/>
    <n v="7"/>
    <n v="14"/>
    <n v="5"/>
    <n v="14"/>
    <n v="5"/>
    <n v="0"/>
    <n v="7"/>
    <n v="7"/>
    <n v="21"/>
    <m/>
    <m/>
    <m/>
    <m/>
    <m/>
    <m/>
    <m/>
    <m/>
    <n v="0"/>
    <n v="0"/>
    <n v="0"/>
    <n v="0"/>
    <n v="0"/>
    <n v="0"/>
    <n v="0"/>
    <n v="0"/>
    <n v="0"/>
    <n v="0"/>
    <n v="0"/>
    <n v="0"/>
    <n v="0"/>
    <n v="0"/>
    <n v="0"/>
    <n v="0"/>
    <s v=""/>
    <x v="1"/>
    <m/>
  </r>
  <r>
    <n v="43.766666666666666"/>
    <x v="3"/>
    <x v="143"/>
    <x v="0"/>
    <s v="UNHCR"/>
    <x v="0"/>
    <x v="0"/>
    <s v="Sat Roe Kya 2"/>
    <n v="0"/>
    <m/>
    <m/>
    <m/>
    <n v="0"/>
    <n v="836"/>
    <n v="418"/>
    <n v="836"/>
    <n v="418"/>
    <n v="0"/>
    <n v="418"/>
    <n v="418"/>
    <n v="2090"/>
    <m/>
    <m/>
    <m/>
    <m/>
    <m/>
    <m/>
    <m/>
    <m/>
    <n v="0"/>
    <n v="0"/>
    <n v="0"/>
    <n v="0"/>
    <n v="0"/>
    <n v="0"/>
    <n v="0"/>
    <n v="0"/>
    <n v="0"/>
    <n v="0"/>
    <n v="0"/>
    <n v="0"/>
    <n v="0"/>
    <n v="0"/>
    <n v="0"/>
    <n v="0"/>
    <s v="MMR012CMP112"/>
    <x v="2"/>
    <m/>
  </r>
  <r>
    <n v="43.766666666666666"/>
    <x v="3"/>
    <x v="143"/>
    <x v="0"/>
    <s v="LWF"/>
    <x v="0"/>
    <x v="0"/>
    <s v="Set Yone Su"/>
    <m/>
    <m/>
    <m/>
    <n v="72"/>
    <m/>
    <n v="144"/>
    <n v="72"/>
    <n v="144"/>
    <n v="72"/>
    <m/>
    <n v="72"/>
    <n v="72"/>
    <n v="360"/>
    <m/>
    <m/>
    <m/>
    <m/>
    <m/>
    <m/>
    <m/>
    <m/>
    <n v="0"/>
    <n v="0"/>
    <n v="0"/>
    <n v="0"/>
    <n v="0"/>
    <n v="0"/>
    <n v="0"/>
    <n v="0"/>
    <n v="0"/>
    <n v="0"/>
    <n v="0"/>
    <n v="0"/>
    <n v="0"/>
    <n v="0"/>
    <n v="0"/>
    <n v="0"/>
    <s v="MMR012CMP056"/>
    <x v="2"/>
    <m/>
  </r>
  <r>
    <n v="43.766666666666666"/>
    <x v="3"/>
    <x v="143"/>
    <x v="0"/>
    <s v="LWF"/>
    <x v="0"/>
    <x v="0"/>
    <s v="Set Yone Su 3"/>
    <m/>
    <m/>
    <m/>
    <n v="151"/>
    <m/>
    <n v="302"/>
    <n v="151"/>
    <n v="302"/>
    <n v="151"/>
    <m/>
    <n v="151"/>
    <n v="151"/>
    <n v="755"/>
    <m/>
    <m/>
    <m/>
    <m/>
    <m/>
    <m/>
    <m/>
    <m/>
    <n v="0"/>
    <n v="0"/>
    <n v="0"/>
    <n v="0"/>
    <n v="0"/>
    <n v="0"/>
    <n v="0"/>
    <n v="0"/>
    <n v="0"/>
    <n v="0"/>
    <n v="0"/>
    <n v="0"/>
    <n v="0"/>
    <n v="0"/>
    <n v="0"/>
    <n v="0"/>
    <s v=""/>
    <x v="1"/>
    <m/>
  </r>
  <r>
    <n v="45.2"/>
    <x v="3"/>
    <x v="144"/>
    <x v="20"/>
    <s v="Save the Children"/>
    <x v="0"/>
    <x v="0"/>
    <s v="Thet Kae Pyin "/>
    <n v="1020"/>
    <m/>
    <m/>
    <m/>
    <m/>
    <m/>
    <m/>
    <m/>
    <m/>
    <m/>
    <m/>
    <m/>
    <m/>
    <m/>
    <m/>
    <m/>
    <m/>
    <m/>
    <m/>
    <m/>
    <m/>
    <n v="0"/>
    <n v="0"/>
    <n v="0"/>
    <n v="0"/>
    <n v="0"/>
    <n v="0"/>
    <n v="0"/>
    <n v="0"/>
    <n v="0"/>
    <n v="0"/>
    <n v="0"/>
    <n v="0"/>
    <n v="0"/>
    <n v="0"/>
    <n v="0"/>
    <n v="0"/>
    <s v="MMR012CMP048"/>
    <x v="0"/>
    <m/>
  </r>
  <r>
    <n v="45.533333333333331"/>
    <x v="3"/>
    <x v="145"/>
    <x v="0"/>
    <s v="UNHCR"/>
    <x v="0"/>
    <x v="8"/>
    <s v="Bomu Ywa"/>
    <n v="0"/>
    <m/>
    <m/>
    <n v="43"/>
    <n v="43"/>
    <n v="86"/>
    <n v="0"/>
    <n v="86"/>
    <n v="33"/>
    <n v="0"/>
    <n v="43"/>
    <n v="43"/>
    <n v="165"/>
    <m/>
    <m/>
    <m/>
    <m/>
    <m/>
    <m/>
    <m/>
    <m/>
    <n v="0"/>
    <n v="0"/>
    <n v="0"/>
    <n v="0"/>
    <n v="0"/>
    <n v="0"/>
    <n v="0"/>
    <n v="0"/>
    <n v="0"/>
    <n v="0"/>
    <n v="0"/>
    <n v="0"/>
    <n v="0"/>
    <n v="0"/>
    <n v="0"/>
    <n v="0"/>
    <s v=""/>
    <x v="1"/>
    <m/>
  </r>
  <r>
    <n v="45.666666666666664"/>
    <x v="3"/>
    <x v="146"/>
    <x v="14"/>
    <s v="RI"/>
    <x v="0"/>
    <x v="2"/>
    <s v="Kan Thar Htwat Wa"/>
    <n v="42"/>
    <m/>
    <m/>
    <m/>
    <m/>
    <m/>
    <m/>
    <m/>
    <m/>
    <m/>
    <m/>
    <m/>
    <m/>
    <m/>
    <m/>
    <m/>
    <m/>
    <m/>
    <m/>
    <m/>
    <m/>
    <n v="0"/>
    <n v="0"/>
    <n v="0"/>
    <n v="0"/>
    <n v="0"/>
    <n v="0"/>
    <n v="0"/>
    <n v="0"/>
    <n v="0"/>
    <n v="0"/>
    <n v="0"/>
    <n v="0"/>
    <n v="0"/>
    <n v="0"/>
    <n v="0"/>
    <n v="0"/>
    <s v="MMR012CMP013"/>
    <x v="2"/>
    <m/>
  </r>
  <r>
    <n v="45.666666666666664"/>
    <x v="3"/>
    <x v="146"/>
    <x v="14"/>
    <s v="RI"/>
    <x v="0"/>
    <x v="2"/>
    <s v="Taung Paw "/>
    <n v="682"/>
    <m/>
    <m/>
    <m/>
    <m/>
    <m/>
    <m/>
    <m/>
    <m/>
    <m/>
    <m/>
    <m/>
    <m/>
    <m/>
    <m/>
    <m/>
    <m/>
    <m/>
    <m/>
    <m/>
    <m/>
    <n v="0"/>
    <n v="0"/>
    <n v="0"/>
    <n v="0"/>
    <n v="0"/>
    <n v="0"/>
    <n v="0"/>
    <n v="0"/>
    <n v="0"/>
    <n v="0"/>
    <n v="0"/>
    <n v="0"/>
    <n v="0"/>
    <n v="0"/>
    <n v="0"/>
    <n v="0"/>
    <s v="MMR012CMP014"/>
    <x v="0"/>
    <m/>
  </r>
  <r>
    <n v="45.966666666666669"/>
    <x v="3"/>
    <x v="147"/>
    <x v="12"/>
    <s v="CDN"/>
    <x v="0"/>
    <x v="0"/>
    <s v="Sat Roe Kya 1"/>
    <n v="249"/>
    <m/>
    <m/>
    <m/>
    <m/>
    <m/>
    <m/>
    <m/>
    <m/>
    <m/>
    <m/>
    <m/>
    <m/>
    <m/>
    <m/>
    <m/>
    <m/>
    <m/>
    <m/>
    <m/>
    <m/>
    <n v="0"/>
    <n v="0"/>
    <n v="0"/>
    <n v="0"/>
    <n v="0"/>
    <n v="0"/>
    <n v="0"/>
    <n v="0"/>
    <n v="0"/>
    <n v="0"/>
    <n v="0"/>
    <n v="0"/>
    <n v="0"/>
    <n v="0"/>
    <n v="0"/>
    <n v="0"/>
    <s v="MMR012CMP111"/>
    <x v="2"/>
    <m/>
  </r>
  <r>
    <n v="46.6"/>
    <x v="3"/>
    <x v="148"/>
    <x v="14"/>
    <s v="RI"/>
    <x v="0"/>
    <x v="2"/>
    <s v="Kan Thar Htwat Wa"/>
    <n v="42"/>
    <m/>
    <m/>
    <m/>
    <m/>
    <m/>
    <m/>
    <m/>
    <m/>
    <m/>
    <m/>
    <m/>
    <m/>
    <m/>
    <m/>
    <m/>
    <m/>
    <m/>
    <m/>
    <m/>
    <m/>
    <n v="0"/>
    <n v="0"/>
    <n v="0"/>
    <n v="0"/>
    <n v="0"/>
    <n v="0"/>
    <n v="0"/>
    <n v="0"/>
    <n v="0"/>
    <n v="0"/>
    <n v="0"/>
    <n v="0"/>
    <n v="0"/>
    <n v="0"/>
    <n v="0"/>
    <n v="0"/>
    <s v="MMR012CMP013"/>
    <x v="2"/>
    <m/>
  </r>
  <r>
    <n v="46.6"/>
    <x v="3"/>
    <x v="148"/>
    <x v="14"/>
    <s v="RI"/>
    <x v="0"/>
    <x v="2"/>
    <s v="Taung Paw "/>
    <n v="682"/>
    <m/>
    <m/>
    <m/>
    <m/>
    <m/>
    <m/>
    <m/>
    <m/>
    <m/>
    <m/>
    <m/>
    <m/>
    <m/>
    <m/>
    <m/>
    <m/>
    <m/>
    <m/>
    <m/>
    <m/>
    <n v="0"/>
    <n v="0"/>
    <n v="0"/>
    <n v="0"/>
    <n v="0"/>
    <n v="0"/>
    <n v="0"/>
    <n v="0"/>
    <n v="0"/>
    <n v="0"/>
    <n v="0"/>
    <n v="0"/>
    <n v="0"/>
    <n v="0"/>
    <n v="0"/>
    <n v="0"/>
    <s v="MMR012CMP014"/>
    <x v="0"/>
    <m/>
  </r>
  <r>
    <n v="46.7"/>
    <x v="3"/>
    <x v="149"/>
    <x v="0"/>
    <s v="UNHCR"/>
    <x v="0"/>
    <x v="1"/>
    <s v="Kyein Ni Pyin"/>
    <m/>
    <m/>
    <m/>
    <n v="101"/>
    <m/>
    <n v="1888"/>
    <n v="944"/>
    <n v="1888"/>
    <n v="944"/>
    <m/>
    <n v="944"/>
    <n v="944"/>
    <n v="4720"/>
    <m/>
    <m/>
    <m/>
    <m/>
    <m/>
    <m/>
    <m/>
    <m/>
    <n v="0"/>
    <n v="0"/>
    <n v="0"/>
    <n v="0"/>
    <n v="0"/>
    <n v="0"/>
    <n v="0"/>
    <n v="0"/>
    <n v="0"/>
    <n v="0"/>
    <n v="0"/>
    <n v="0"/>
    <n v="0"/>
    <n v="0"/>
    <n v="0"/>
    <n v="0"/>
    <s v="MMR012CMP018"/>
    <x v="0"/>
    <m/>
  </r>
  <r>
    <n v="46.966666666666669"/>
    <x v="3"/>
    <x v="150"/>
    <x v="0"/>
    <s v="UNHCR"/>
    <x v="0"/>
    <x v="3"/>
    <s v="Chein Khar Li"/>
    <n v="0"/>
    <m/>
    <m/>
    <n v="0"/>
    <n v="0"/>
    <n v="0"/>
    <n v="0"/>
    <n v="700"/>
    <n v="0"/>
    <n v="0"/>
    <n v="350"/>
    <n v="0"/>
    <n v="1120"/>
    <m/>
    <m/>
    <m/>
    <m/>
    <m/>
    <m/>
    <m/>
    <m/>
    <n v="0"/>
    <n v="0"/>
    <n v="0"/>
    <n v="0"/>
    <n v="0"/>
    <n v="0"/>
    <n v="0"/>
    <n v="0"/>
    <n v="0"/>
    <n v="0"/>
    <n v="0"/>
    <n v="0"/>
    <n v="0"/>
    <n v="0"/>
    <n v="0"/>
    <n v="0"/>
    <s v=""/>
    <x v="1"/>
    <m/>
  </r>
  <r>
    <n v="46.966666666666669"/>
    <x v="3"/>
    <x v="150"/>
    <x v="0"/>
    <s v="UNHCR"/>
    <x v="0"/>
    <x v="3"/>
    <s v="Koe Tan Kauk"/>
    <n v="0"/>
    <m/>
    <m/>
    <n v="0"/>
    <n v="0"/>
    <n v="0"/>
    <n v="0"/>
    <n v="534"/>
    <n v="0"/>
    <n v="0"/>
    <n v="267"/>
    <m/>
    <n v="1010"/>
    <m/>
    <m/>
    <m/>
    <m/>
    <m/>
    <m/>
    <m/>
    <m/>
    <n v="0"/>
    <n v="0"/>
    <n v="0"/>
    <n v="0"/>
    <n v="0"/>
    <n v="0"/>
    <n v="0"/>
    <n v="0"/>
    <n v="0"/>
    <n v="0"/>
    <n v="0"/>
    <n v="0"/>
    <n v="0"/>
    <n v="0"/>
    <n v="0"/>
    <n v="0"/>
    <s v=""/>
    <x v="1"/>
    <m/>
  </r>
  <r>
    <n v="47.466666666666669"/>
    <x v="3"/>
    <x v="151"/>
    <x v="0"/>
    <s v="UNHCR"/>
    <x v="0"/>
    <x v="8"/>
    <s v="Sin Thay Pyin (Zay Di Pyin)"/>
    <n v="16"/>
    <m/>
    <m/>
    <n v="16"/>
    <n v="16"/>
    <n v="32"/>
    <n v="0"/>
    <n v="32"/>
    <n v="8"/>
    <n v="0"/>
    <n v="16"/>
    <n v="16"/>
    <n v="40"/>
    <m/>
    <m/>
    <m/>
    <m/>
    <m/>
    <m/>
    <m/>
    <m/>
    <n v="0"/>
    <n v="0"/>
    <n v="0"/>
    <n v="0"/>
    <n v="0"/>
    <n v="0"/>
    <n v="0"/>
    <n v="0"/>
    <n v="0"/>
    <n v="0"/>
    <n v="0"/>
    <n v="0"/>
    <n v="0"/>
    <n v="0"/>
    <n v="0"/>
    <n v="0"/>
    <s v=""/>
    <x v="1"/>
    <m/>
  </r>
  <r>
    <n v="47.466666666666669"/>
    <x v="3"/>
    <x v="151"/>
    <x v="0"/>
    <s v="UNHCR"/>
    <x v="0"/>
    <x v="8"/>
    <s v="Ywa thit Kay"/>
    <n v="36"/>
    <m/>
    <m/>
    <n v="36"/>
    <n v="36"/>
    <n v="72"/>
    <n v="0"/>
    <n v="72"/>
    <n v="19"/>
    <n v="0"/>
    <n v="36"/>
    <n v="36"/>
    <n v="95"/>
    <m/>
    <m/>
    <m/>
    <m/>
    <m/>
    <m/>
    <m/>
    <m/>
    <n v="0"/>
    <n v="0"/>
    <n v="0"/>
    <n v="0"/>
    <n v="0"/>
    <n v="0"/>
    <n v="0"/>
    <n v="0"/>
    <n v="0"/>
    <n v="0"/>
    <n v="0"/>
    <n v="0"/>
    <n v="0"/>
    <n v="0"/>
    <n v="0"/>
    <n v="0"/>
    <s v=""/>
    <x v="1"/>
    <m/>
  </r>
  <r>
    <n v="47.466666666666669"/>
    <x v="3"/>
    <x v="151"/>
    <x v="0"/>
    <s v="UNHCR"/>
    <x v="0"/>
    <x v="8"/>
    <s v="(Du) Chee Yar Tan (East)"/>
    <n v="39"/>
    <m/>
    <m/>
    <n v="39"/>
    <n v="39"/>
    <n v="78"/>
    <n v="0"/>
    <n v="78"/>
    <n v="28"/>
    <n v="0"/>
    <n v="39"/>
    <n v="39"/>
    <n v="40"/>
    <m/>
    <m/>
    <m/>
    <m/>
    <m/>
    <m/>
    <m/>
    <m/>
    <n v="0"/>
    <n v="0"/>
    <n v="0"/>
    <n v="0"/>
    <n v="0"/>
    <n v="0"/>
    <n v="0"/>
    <n v="0"/>
    <n v="0"/>
    <n v="0"/>
    <n v="0"/>
    <n v="0"/>
    <n v="0"/>
    <n v="0"/>
    <n v="0"/>
    <n v="0"/>
    <s v=""/>
    <x v="1"/>
    <m/>
  </r>
  <r>
    <n v="47.633333333333333"/>
    <x v="3"/>
    <x v="152"/>
    <x v="14"/>
    <s v="RI"/>
    <x v="0"/>
    <x v="2"/>
    <s v="Kan Thar Htwat Wa"/>
    <n v="42"/>
    <m/>
    <m/>
    <m/>
    <m/>
    <m/>
    <m/>
    <m/>
    <m/>
    <m/>
    <m/>
    <m/>
    <m/>
    <m/>
    <m/>
    <m/>
    <m/>
    <m/>
    <m/>
    <m/>
    <m/>
    <n v="0"/>
    <n v="0"/>
    <n v="0"/>
    <n v="0"/>
    <n v="0"/>
    <n v="0"/>
    <n v="0"/>
    <n v="0"/>
    <n v="0"/>
    <n v="0"/>
    <n v="0"/>
    <n v="0"/>
    <n v="0"/>
    <n v="0"/>
    <n v="0"/>
    <n v="0"/>
    <s v="MMR012CMP013"/>
    <x v="2"/>
    <m/>
  </r>
  <r>
    <n v="47.633333333333333"/>
    <x v="3"/>
    <x v="152"/>
    <x v="14"/>
    <s v="RI"/>
    <x v="0"/>
    <x v="2"/>
    <s v="Taung Paw "/>
    <n v="682"/>
    <m/>
    <m/>
    <m/>
    <m/>
    <m/>
    <m/>
    <m/>
    <m/>
    <m/>
    <m/>
    <m/>
    <m/>
    <m/>
    <m/>
    <m/>
    <m/>
    <m/>
    <m/>
    <m/>
    <m/>
    <n v="0"/>
    <n v="0"/>
    <n v="0"/>
    <n v="0"/>
    <n v="0"/>
    <n v="0"/>
    <n v="0"/>
    <n v="0"/>
    <n v="0"/>
    <n v="0"/>
    <n v="0"/>
    <n v="0"/>
    <n v="0"/>
    <n v="0"/>
    <n v="0"/>
    <n v="0"/>
    <s v="MMR012CMP014"/>
    <x v="0"/>
    <m/>
  </r>
  <r>
    <n v="47.93333333333333"/>
    <x v="4"/>
    <x v="153"/>
    <x v="0"/>
    <s v="UNHCR"/>
    <x v="0"/>
    <x v="8"/>
    <s v="Nyaung Pin Hla"/>
    <n v="27"/>
    <m/>
    <m/>
    <n v="27"/>
    <n v="27"/>
    <n v="54"/>
    <n v="0"/>
    <n v="54"/>
    <n v="17"/>
    <n v="0"/>
    <n v="27"/>
    <m/>
    <n v="85"/>
    <m/>
    <m/>
    <m/>
    <m/>
    <m/>
    <m/>
    <m/>
    <m/>
    <n v="0"/>
    <n v="0"/>
    <n v="0"/>
    <n v="0"/>
    <n v="0"/>
    <n v="0"/>
    <n v="0"/>
    <n v="0"/>
    <n v="0"/>
    <n v="0"/>
    <n v="0"/>
    <n v="0"/>
    <n v="0"/>
    <n v="0"/>
    <n v="0"/>
    <n v="0"/>
    <s v="MMR012CMP082"/>
    <x v="3"/>
    <m/>
  </r>
  <r>
    <n v="48.1"/>
    <x v="4"/>
    <x v="154"/>
    <x v="0"/>
    <s v="UNHCR"/>
    <x v="0"/>
    <x v="8"/>
    <s v="Thaung Paing Nyar"/>
    <n v="108"/>
    <m/>
    <m/>
    <n v="108"/>
    <n v="108"/>
    <n v="216"/>
    <n v="0"/>
    <n v="216"/>
    <n v="68"/>
    <n v="0"/>
    <n v="108"/>
    <m/>
    <n v="340"/>
    <m/>
    <m/>
    <m/>
    <m/>
    <m/>
    <m/>
    <m/>
    <m/>
    <n v="0"/>
    <n v="0"/>
    <n v="0"/>
    <n v="0"/>
    <n v="0"/>
    <n v="0"/>
    <n v="0"/>
    <n v="0"/>
    <n v="0"/>
    <n v="0"/>
    <n v="0"/>
    <n v="0"/>
    <n v="0"/>
    <n v="0"/>
    <n v="0"/>
    <n v="0"/>
    <s v=""/>
    <x v="1"/>
    <m/>
  </r>
  <r>
    <n v="48.1"/>
    <x v="4"/>
    <x v="154"/>
    <x v="0"/>
    <s v="UNHCR"/>
    <x v="0"/>
    <x v="8"/>
    <s v="Ward-6 (Lay Myaing)"/>
    <n v="164"/>
    <m/>
    <m/>
    <n v="164"/>
    <n v="164"/>
    <n v="328"/>
    <n v="0"/>
    <n v="328"/>
    <n v="92"/>
    <n v="0"/>
    <n v="164"/>
    <m/>
    <n v="460"/>
    <m/>
    <m/>
    <m/>
    <m/>
    <m/>
    <m/>
    <m/>
    <m/>
    <n v="0"/>
    <n v="0"/>
    <n v="0"/>
    <n v="0"/>
    <n v="0"/>
    <n v="0"/>
    <n v="0"/>
    <n v="0"/>
    <n v="0"/>
    <n v="0"/>
    <n v="0"/>
    <n v="0"/>
    <n v="0"/>
    <n v="0"/>
    <n v="0"/>
    <n v="0"/>
    <s v=""/>
    <x v="1"/>
    <m/>
  </r>
  <r>
    <n v="48.133333333333333"/>
    <x v="4"/>
    <x v="155"/>
    <x v="0"/>
    <s v="UNHCR"/>
    <x v="0"/>
    <x v="8"/>
    <s v="Myoma Myauk (Chitta Ywa)"/>
    <n v="315"/>
    <m/>
    <m/>
    <n v="315"/>
    <n v="315"/>
    <n v="630"/>
    <n v="0"/>
    <n v="630"/>
    <n v="186"/>
    <n v="0"/>
    <n v="315"/>
    <m/>
    <n v="930"/>
    <m/>
    <m/>
    <m/>
    <m/>
    <m/>
    <m/>
    <m/>
    <m/>
    <n v="0"/>
    <n v="0"/>
    <n v="0"/>
    <n v="0"/>
    <n v="0"/>
    <n v="0"/>
    <n v="0"/>
    <n v="0"/>
    <n v="0"/>
    <n v="0"/>
    <n v="0"/>
    <n v="0"/>
    <n v="0"/>
    <n v="0"/>
    <n v="0"/>
    <n v="0"/>
    <s v=""/>
    <x v="1"/>
    <m/>
  </r>
  <r>
    <n v="48.233333333333334"/>
    <x v="4"/>
    <x v="156"/>
    <x v="0"/>
    <s v="UNHCR"/>
    <x v="0"/>
    <x v="8"/>
    <s v="Honsara (Zaw Ma Tat)"/>
    <n v="170"/>
    <m/>
    <m/>
    <n v="170"/>
    <n v="170"/>
    <n v="338"/>
    <n v="0"/>
    <n v="338"/>
    <n v="110"/>
    <n v="0"/>
    <n v="170"/>
    <m/>
    <n v="550"/>
    <m/>
    <m/>
    <m/>
    <m/>
    <m/>
    <m/>
    <m/>
    <m/>
    <n v="0"/>
    <n v="0"/>
    <n v="0"/>
    <n v="0"/>
    <n v="0"/>
    <n v="0"/>
    <n v="0"/>
    <n v="0"/>
    <n v="0"/>
    <n v="0"/>
    <n v="0"/>
    <n v="0"/>
    <n v="0"/>
    <n v="0"/>
    <n v="0"/>
    <n v="0"/>
    <s v=""/>
    <x v="1"/>
    <m/>
  </r>
  <r>
    <n v="51.133333333333333"/>
    <x v="4"/>
    <x v="157"/>
    <x v="0"/>
    <s v="UNHCR"/>
    <x v="0"/>
    <x v="3"/>
    <s v="Ah Htet Nan Yar"/>
    <n v="349"/>
    <m/>
    <m/>
    <n v="349"/>
    <n v="349"/>
    <n v="698"/>
    <n v="250"/>
    <n v="698"/>
    <n v="250"/>
    <n v="0"/>
    <n v="349"/>
    <m/>
    <n v="1250"/>
    <m/>
    <m/>
    <m/>
    <m/>
    <m/>
    <m/>
    <m/>
    <m/>
    <n v="0"/>
    <n v="0"/>
    <n v="0"/>
    <n v="0"/>
    <n v="0"/>
    <n v="0"/>
    <n v="0"/>
    <n v="0"/>
    <n v="0"/>
    <n v="0"/>
    <n v="0"/>
    <n v="0"/>
    <n v="0"/>
    <n v="0"/>
    <n v="0"/>
    <n v="0"/>
    <s v=""/>
    <x v="1"/>
    <m/>
  </r>
  <r>
    <n v="51.166666666666664"/>
    <x v="4"/>
    <x v="158"/>
    <x v="0"/>
    <s v="UNHCR"/>
    <x v="0"/>
    <x v="3"/>
    <s v="Ah Nauk Pyin"/>
    <n v="86"/>
    <m/>
    <m/>
    <n v="86"/>
    <n v="86"/>
    <n v="170"/>
    <n v="66"/>
    <n v="170"/>
    <n v="66"/>
    <n v="0"/>
    <n v="86"/>
    <m/>
    <n v="330"/>
    <m/>
    <m/>
    <m/>
    <m/>
    <m/>
    <m/>
    <m/>
    <m/>
    <n v="0"/>
    <n v="0"/>
    <n v="0"/>
    <n v="0"/>
    <n v="0"/>
    <n v="0"/>
    <n v="0"/>
    <n v="0"/>
    <n v="0"/>
    <n v="0"/>
    <n v="0"/>
    <n v="0"/>
    <n v="0"/>
    <n v="0"/>
    <n v="0"/>
    <n v="0"/>
    <s v="MMR012CMP032"/>
    <x v="3"/>
    <m/>
  </r>
  <r>
    <n v="51.2"/>
    <x v="4"/>
    <x v="159"/>
    <x v="0"/>
    <s v="UNHCR"/>
    <x v="0"/>
    <x v="3"/>
    <s v="Nyaung Pin Gyi"/>
    <n v="102"/>
    <m/>
    <m/>
    <n v="102"/>
    <n v="102"/>
    <n v="206"/>
    <n v="66"/>
    <n v="206"/>
    <n v="66"/>
    <n v="0"/>
    <n v="102"/>
    <m/>
    <n v="330"/>
    <m/>
    <m/>
    <m/>
    <m/>
    <m/>
    <m/>
    <m/>
    <m/>
    <n v="0"/>
    <n v="0"/>
    <n v="0"/>
    <n v="0"/>
    <n v="0"/>
    <n v="0"/>
    <n v="0"/>
    <n v="0"/>
    <n v="0"/>
    <n v="0"/>
    <n v="0"/>
    <n v="0"/>
    <n v="0"/>
    <n v="0"/>
    <n v="0"/>
    <n v="0"/>
    <s v="MMR012CMP031"/>
    <x v="3"/>
    <m/>
  </r>
  <r>
    <n v="51.833333333333336"/>
    <x v="4"/>
    <x v="160"/>
    <x v="1"/>
    <s v="DRC"/>
    <x v="0"/>
    <x v="0"/>
    <s v="Baw Du Pha 2"/>
    <m/>
    <m/>
    <m/>
    <m/>
    <m/>
    <n v="2624"/>
    <n v="1312"/>
    <n v="2624"/>
    <n v="1312"/>
    <m/>
    <n v="1312"/>
    <m/>
    <n v="3936"/>
    <m/>
    <m/>
    <m/>
    <m/>
    <m/>
    <m/>
    <m/>
    <m/>
    <n v="0"/>
    <n v="0"/>
    <n v="0"/>
    <n v="0"/>
    <n v="0"/>
    <n v="0"/>
    <n v="0"/>
    <n v="0"/>
    <n v="0"/>
    <n v="0"/>
    <n v="0"/>
    <n v="0"/>
    <n v="0"/>
    <n v="0"/>
    <n v="0"/>
    <n v="0"/>
    <s v="MMR012CMP114"/>
    <x v="0"/>
    <m/>
  </r>
  <r>
    <n v="51.9"/>
    <x v="4"/>
    <x v="161"/>
    <x v="1"/>
    <s v="DRC"/>
    <x v="0"/>
    <x v="0"/>
    <s v="Baw Du Pha 1"/>
    <m/>
    <m/>
    <m/>
    <m/>
    <m/>
    <n v="2020"/>
    <n v="1010"/>
    <n v="2020"/>
    <n v="1010"/>
    <m/>
    <n v="1010"/>
    <m/>
    <n v="3030"/>
    <m/>
    <m/>
    <m/>
    <m/>
    <m/>
    <m/>
    <m/>
    <m/>
    <n v="0"/>
    <n v="0"/>
    <n v="0"/>
    <n v="0"/>
    <n v="0"/>
    <n v="0"/>
    <n v="0"/>
    <n v="0"/>
    <n v="0"/>
    <n v="0"/>
    <n v="0"/>
    <n v="0"/>
    <n v="0"/>
    <n v="0"/>
    <n v="0"/>
    <n v="0"/>
    <s v="MMR012CMP113"/>
    <x v="0"/>
    <m/>
  </r>
  <r>
    <n v="52.3"/>
    <x v="4"/>
    <x v="162"/>
    <x v="2"/>
    <s v="LWF"/>
    <x v="0"/>
    <x v="0"/>
    <s v="Set Yone Su"/>
    <m/>
    <m/>
    <m/>
    <m/>
    <m/>
    <n v="2"/>
    <n v="1"/>
    <n v="2"/>
    <n v="1"/>
    <m/>
    <n v="1"/>
    <m/>
    <n v="5"/>
    <m/>
    <m/>
    <m/>
    <m/>
    <m/>
    <m/>
    <m/>
    <m/>
    <n v="0"/>
    <n v="0"/>
    <n v="0"/>
    <n v="0"/>
    <n v="0"/>
    <n v="0"/>
    <n v="0"/>
    <n v="0"/>
    <n v="0"/>
    <n v="0"/>
    <n v="0"/>
    <n v="0"/>
    <n v="0"/>
    <n v="0"/>
    <n v="0"/>
    <n v="0"/>
    <s v="MMR012CMP056"/>
    <x v="2"/>
    <m/>
  </r>
  <r>
    <n v="52.3"/>
    <x v="4"/>
    <x v="162"/>
    <x v="2"/>
    <s v="LWF"/>
    <x v="0"/>
    <x v="0"/>
    <s v="Set Yone Su 3"/>
    <m/>
    <m/>
    <m/>
    <m/>
    <m/>
    <n v="2"/>
    <n v="1"/>
    <n v="2"/>
    <n v="1"/>
    <m/>
    <n v="1"/>
    <m/>
    <n v="5"/>
    <m/>
    <m/>
    <m/>
    <m/>
    <m/>
    <m/>
    <m/>
    <m/>
    <n v="0"/>
    <n v="0"/>
    <n v="0"/>
    <n v="0"/>
    <n v="0"/>
    <n v="0"/>
    <n v="0"/>
    <n v="0"/>
    <n v="0"/>
    <n v="0"/>
    <n v="0"/>
    <n v="0"/>
    <n v="0"/>
    <n v="0"/>
    <n v="0"/>
    <n v="0"/>
    <s v=""/>
    <x v="1"/>
    <m/>
  </r>
  <r>
    <n v="52.733333333333334"/>
    <x v="4"/>
    <x v="163"/>
    <x v="21"/>
    <s v="AGE"/>
    <x v="0"/>
    <x v="1"/>
    <s v="Ah Nauk Ywe"/>
    <m/>
    <m/>
    <m/>
    <m/>
    <m/>
    <m/>
    <m/>
    <m/>
    <m/>
    <n v="1128"/>
    <m/>
    <m/>
    <m/>
    <m/>
    <m/>
    <m/>
    <m/>
    <m/>
    <m/>
    <m/>
    <m/>
    <n v="0"/>
    <n v="0"/>
    <n v="0"/>
    <n v="0"/>
    <n v="0"/>
    <n v="0"/>
    <n v="0"/>
    <n v="0"/>
    <n v="0"/>
    <n v="0"/>
    <n v="0"/>
    <n v="0"/>
    <n v="0"/>
    <n v="0"/>
    <n v="0"/>
    <n v="0"/>
    <s v="MMR012CMP016"/>
    <x v="0"/>
    <m/>
  </r>
  <r>
    <n v="52.733333333333334"/>
    <x v="4"/>
    <x v="163"/>
    <x v="21"/>
    <s v="AGE"/>
    <x v="0"/>
    <x v="1"/>
    <s v="Kyein Ni Pyin"/>
    <m/>
    <m/>
    <m/>
    <m/>
    <m/>
    <m/>
    <m/>
    <m/>
    <m/>
    <n v="959"/>
    <m/>
    <m/>
    <m/>
    <m/>
    <m/>
    <m/>
    <m/>
    <m/>
    <m/>
    <m/>
    <m/>
    <n v="0"/>
    <n v="0"/>
    <n v="0"/>
    <n v="0"/>
    <n v="0"/>
    <n v="0"/>
    <n v="0"/>
    <n v="0"/>
    <n v="0"/>
    <n v="0"/>
    <n v="0"/>
    <n v="0"/>
    <n v="0"/>
    <n v="0"/>
    <n v="0"/>
    <n v="0"/>
    <s v="MMR012CMP018"/>
    <x v="0"/>
    <m/>
  </r>
  <r>
    <n v="52.733333333333334"/>
    <x v="4"/>
    <x v="163"/>
    <x v="21"/>
    <s v="AGE"/>
    <x v="0"/>
    <x v="1"/>
    <s v="Nget Chaung"/>
    <m/>
    <m/>
    <m/>
    <m/>
    <m/>
    <m/>
    <m/>
    <m/>
    <m/>
    <n v="1130"/>
    <m/>
    <m/>
    <m/>
    <m/>
    <m/>
    <m/>
    <m/>
    <m/>
    <m/>
    <m/>
    <m/>
    <n v="0"/>
    <n v="0"/>
    <n v="0"/>
    <n v="0"/>
    <n v="0"/>
    <n v="0"/>
    <n v="0"/>
    <n v="0"/>
    <n v="0"/>
    <n v="0"/>
    <n v="0"/>
    <n v="0"/>
    <n v="0"/>
    <n v="0"/>
    <n v="0"/>
    <n v="0"/>
    <s v=""/>
    <x v="1"/>
    <m/>
  </r>
  <r>
    <n v="52.733333333333334"/>
    <x v="4"/>
    <x v="163"/>
    <x v="21"/>
    <s v="AGE"/>
    <x v="0"/>
    <x v="1"/>
    <s v="Sin Tet Maw"/>
    <m/>
    <m/>
    <m/>
    <m/>
    <m/>
    <m/>
    <m/>
    <m/>
    <m/>
    <n v="681"/>
    <m/>
    <m/>
    <m/>
    <m/>
    <m/>
    <m/>
    <m/>
    <m/>
    <m/>
    <m/>
    <m/>
    <n v="0"/>
    <n v="0"/>
    <n v="0"/>
    <n v="0"/>
    <n v="0"/>
    <n v="0"/>
    <n v="0"/>
    <n v="0"/>
    <n v="0"/>
    <n v="0"/>
    <n v="0"/>
    <n v="0"/>
    <n v="0"/>
    <n v="0"/>
    <n v="0"/>
    <n v="0"/>
    <s v="MMR012CMP019"/>
    <x v="0"/>
    <m/>
  </r>
  <r>
    <n v="52.733333333333334"/>
    <x v="4"/>
    <x v="163"/>
    <x v="21"/>
    <s v="AGE"/>
    <x v="0"/>
    <x v="1"/>
    <s v="Ba Wan Chaung Wa Su"/>
    <m/>
    <m/>
    <m/>
    <m/>
    <m/>
    <m/>
    <m/>
    <m/>
    <m/>
    <n v="24"/>
    <m/>
    <m/>
    <m/>
    <m/>
    <m/>
    <m/>
    <m/>
    <m/>
    <m/>
    <m/>
    <m/>
    <n v="0"/>
    <n v="0"/>
    <n v="0"/>
    <n v="0"/>
    <n v="0"/>
    <n v="0"/>
    <n v="0"/>
    <n v="0"/>
    <n v="0"/>
    <n v="0"/>
    <n v="0"/>
    <n v="0"/>
    <n v="0"/>
    <n v="0"/>
    <n v="0"/>
    <n v="0"/>
    <s v="MMR012CMP015"/>
    <x v="2"/>
    <m/>
  </r>
  <r>
    <n v="52.733333333333334"/>
    <x v="4"/>
    <x v="163"/>
    <x v="21"/>
    <s v="AGE"/>
    <x v="0"/>
    <x v="8"/>
    <s v="Maw Ya Waddy"/>
    <m/>
    <m/>
    <m/>
    <m/>
    <m/>
    <m/>
    <m/>
    <m/>
    <m/>
    <n v="183"/>
    <m/>
    <m/>
    <m/>
    <m/>
    <m/>
    <m/>
    <m/>
    <m/>
    <m/>
    <m/>
    <m/>
    <n v="0"/>
    <n v="0"/>
    <n v="0"/>
    <n v="0"/>
    <n v="0"/>
    <n v="0"/>
    <n v="0"/>
    <n v="0"/>
    <n v="0"/>
    <n v="0"/>
    <n v="0"/>
    <n v="0"/>
    <n v="0"/>
    <n v="0"/>
    <n v="0"/>
    <n v="0"/>
    <s v="MMR012CMP076"/>
    <x v="4"/>
    <m/>
  </r>
  <r>
    <n v="52.733333333333334"/>
    <x v="4"/>
    <x v="163"/>
    <x v="21"/>
    <s v="AGE"/>
    <x v="0"/>
    <x v="8"/>
    <s v="Kyaing Gyi"/>
    <m/>
    <m/>
    <m/>
    <m/>
    <m/>
    <m/>
    <m/>
    <m/>
    <m/>
    <n v="162"/>
    <m/>
    <m/>
    <m/>
    <m/>
    <m/>
    <m/>
    <m/>
    <m/>
    <m/>
    <m/>
    <m/>
    <n v="0"/>
    <n v="0"/>
    <n v="0"/>
    <n v="0"/>
    <n v="0"/>
    <n v="0"/>
    <n v="0"/>
    <n v="0"/>
    <n v="0"/>
    <n v="0"/>
    <n v="0"/>
    <n v="0"/>
    <n v="0"/>
    <n v="0"/>
    <n v="0"/>
    <n v="0"/>
    <s v="MMR012CMP078"/>
    <x v="4"/>
    <m/>
  </r>
  <r>
    <n v="52.733333333333334"/>
    <x v="4"/>
    <x v="163"/>
    <x v="21"/>
    <s v="AGE"/>
    <x v="0"/>
    <x v="8"/>
    <s v="Tha Yay Kone Baung"/>
    <m/>
    <m/>
    <m/>
    <m/>
    <m/>
    <m/>
    <m/>
    <m/>
    <m/>
    <n v="192"/>
    <m/>
    <m/>
    <m/>
    <m/>
    <m/>
    <m/>
    <m/>
    <m/>
    <m/>
    <m/>
    <m/>
    <n v="0"/>
    <n v="0"/>
    <n v="0"/>
    <n v="0"/>
    <n v="0"/>
    <n v="0"/>
    <n v="0"/>
    <n v="0"/>
    <n v="0"/>
    <n v="0"/>
    <n v="0"/>
    <n v="0"/>
    <n v="0"/>
    <n v="0"/>
    <n v="0"/>
    <n v="0"/>
    <s v="MMR012CMP077"/>
    <x v="4"/>
    <m/>
  </r>
  <r>
    <n v="52.733333333333334"/>
    <x v="4"/>
    <x v="163"/>
    <x v="21"/>
    <s v="AGE"/>
    <x v="0"/>
    <x v="8"/>
    <s v="Kin Chaung"/>
    <m/>
    <m/>
    <m/>
    <m/>
    <m/>
    <m/>
    <m/>
    <m/>
    <m/>
    <n v="102"/>
    <m/>
    <m/>
    <m/>
    <m/>
    <m/>
    <m/>
    <m/>
    <m/>
    <m/>
    <m/>
    <m/>
    <n v="0"/>
    <n v="0"/>
    <n v="0"/>
    <n v="0"/>
    <n v="0"/>
    <n v="0"/>
    <n v="0"/>
    <n v="0"/>
    <n v="0"/>
    <n v="0"/>
    <n v="0"/>
    <n v="0"/>
    <n v="0"/>
    <n v="0"/>
    <n v="0"/>
    <n v="0"/>
    <s v="MMR012CMP080"/>
    <x v="4"/>
    <m/>
  </r>
  <r>
    <n v="52.733333333333334"/>
    <x v="4"/>
    <x v="163"/>
    <x v="21"/>
    <s v="AGE"/>
    <x v="0"/>
    <x v="8"/>
    <s v="Baw Di Gone"/>
    <m/>
    <m/>
    <m/>
    <m/>
    <m/>
    <m/>
    <m/>
    <m/>
    <m/>
    <n v="103"/>
    <m/>
    <m/>
    <m/>
    <m/>
    <m/>
    <m/>
    <m/>
    <m/>
    <m/>
    <m/>
    <m/>
    <n v="0"/>
    <n v="0"/>
    <n v="0"/>
    <n v="0"/>
    <n v="0"/>
    <n v="0"/>
    <n v="0"/>
    <n v="0"/>
    <n v="0"/>
    <n v="0"/>
    <n v="0"/>
    <n v="0"/>
    <n v="0"/>
    <n v="0"/>
    <n v="0"/>
    <n v="0"/>
    <s v="MMR012CMP079"/>
    <x v="4"/>
    <m/>
  </r>
  <r>
    <n v="52.733333333333334"/>
    <x v="4"/>
    <x v="163"/>
    <x v="21"/>
    <s v="AGE"/>
    <x v="0"/>
    <x v="8"/>
    <s v="Kan Thar Yar"/>
    <m/>
    <m/>
    <m/>
    <m/>
    <m/>
    <m/>
    <m/>
    <m/>
    <m/>
    <n v="175"/>
    <m/>
    <m/>
    <m/>
    <m/>
    <m/>
    <m/>
    <m/>
    <m/>
    <m/>
    <m/>
    <m/>
    <n v="0"/>
    <n v="0"/>
    <n v="0"/>
    <n v="0"/>
    <n v="0"/>
    <n v="0"/>
    <n v="0"/>
    <n v="0"/>
    <n v="0"/>
    <n v="0"/>
    <n v="0"/>
    <n v="0"/>
    <n v="0"/>
    <n v="0"/>
    <n v="0"/>
    <n v="0"/>
    <s v="MMR012CMP081"/>
    <x v="4"/>
    <m/>
  </r>
  <r>
    <n v="53.1"/>
    <x v="4"/>
    <x v="164"/>
    <x v="1"/>
    <s v="DRC"/>
    <x v="0"/>
    <x v="0"/>
    <s v="Dar Pai"/>
    <m/>
    <m/>
    <m/>
    <m/>
    <m/>
    <m/>
    <n v="304"/>
    <n v="608"/>
    <m/>
    <m/>
    <n v="304"/>
    <m/>
    <m/>
    <m/>
    <m/>
    <m/>
    <m/>
    <m/>
    <m/>
    <m/>
    <m/>
    <n v="0"/>
    <n v="0"/>
    <n v="0"/>
    <n v="0"/>
    <n v="0"/>
    <n v="0"/>
    <n v="0"/>
    <n v="0"/>
    <n v="0"/>
    <n v="0"/>
    <n v="0"/>
    <n v="0"/>
    <n v="0"/>
    <n v="0"/>
    <n v="0"/>
    <n v="0"/>
    <s v="MMR012CMP041"/>
    <x v="0"/>
    <m/>
  </r>
  <r>
    <n v="53.1"/>
    <x v="4"/>
    <x v="164"/>
    <x v="2"/>
    <s v="LWF"/>
    <x v="0"/>
    <x v="0"/>
    <s v="Set Yone Su"/>
    <m/>
    <m/>
    <m/>
    <n v="70"/>
    <m/>
    <m/>
    <m/>
    <m/>
    <m/>
    <m/>
    <m/>
    <m/>
    <m/>
    <m/>
    <m/>
    <m/>
    <m/>
    <m/>
    <m/>
    <m/>
    <m/>
    <n v="0"/>
    <n v="0"/>
    <n v="0"/>
    <n v="0"/>
    <n v="0"/>
    <n v="0"/>
    <n v="0"/>
    <n v="0"/>
    <n v="0"/>
    <n v="0"/>
    <n v="0"/>
    <n v="0"/>
    <n v="0"/>
    <n v="0"/>
    <n v="0"/>
    <n v="0"/>
    <s v="MMR012CMP056"/>
    <x v="2"/>
    <m/>
  </r>
  <r>
    <n v="53.1"/>
    <x v="4"/>
    <x v="164"/>
    <x v="2"/>
    <s v="LWF"/>
    <x v="0"/>
    <x v="0"/>
    <s v="Set Yone Su 3"/>
    <m/>
    <m/>
    <m/>
    <n v="151"/>
    <m/>
    <m/>
    <m/>
    <m/>
    <m/>
    <m/>
    <m/>
    <m/>
    <m/>
    <m/>
    <m/>
    <m/>
    <m/>
    <m/>
    <m/>
    <m/>
    <m/>
    <n v="0"/>
    <n v="0"/>
    <n v="0"/>
    <n v="0"/>
    <n v="0"/>
    <n v="0"/>
    <n v="0"/>
    <n v="0"/>
    <n v="0"/>
    <n v="0"/>
    <n v="0"/>
    <n v="0"/>
    <n v="0"/>
    <n v="0"/>
    <n v="0"/>
    <n v="0"/>
    <s v=""/>
    <x v="1"/>
    <m/>
  </r>
  <r>
    <n v="54.333333333333336"/>
    <x v="4"/>
    <x v="165"/>
    <x v="2"/>
    <s v="LWF"/>
    <x v="0"/>
    <x v="0"/>
    <s v="Khaung Doke Khar "/>
    <m/>
    <m/>
    <m/>
    <m/>
    <m/>
    <n v="2"/>
    <n v="1"/>
    <n v="2"/>
    <n v="1"/>
    <m/>
    <n v="1"/>
    <m/>
    <n v="5"/>
    <m/>
    <m/>
    <m/>
    <m/>
    <m/>
    <m/>
    <m/>
    <m/>
    <n v="0"/>
    <n v="0"/>
    <n v="0"/>
    <n v="0"/>
    <n v="0"/>
    <n v="0"/>
    <n v="0"/>
    <n v="0"/>
    <n v="0"/>
    <n v="0"/>
    <n v="0"/>
    <n v="0"/>
    <n v="0"/>
    <n v="0"/>
    <n v="0"/>
    <n v="0"/>
    <s v=""/>
    <x v="1"/>
    <m/>
  </r>
  <r>
    <n v="54.533333333333331"/>
    <x v="4"/>
    <x v="166"/>
    <x v="0"/>
    <s v="UNHCR"/>
    <x v="0"/>
    <x v="0"/>
    <s v="Thae Chaung (IDP in host families)"/>
    <m/>
    <m/>
    <m/>
    <n v="2404"/>
    <m/>
    <n v="4808"/>
    <n v="2404"/>
    <n v="4808"/>
    <n v="2404"/>
    <m/>
    <n v="2404"/>
    <m/>
    <n v="12020"/>
    <m/>
    <m/>
    <m/>
    <m/>
    <m/>
    <m/>
    <m/>
    <m/>
    <n v="0"/>
    <n v="0"/>
    <n v="0"/>
    <n v="0"/>
    <n v="0"/>
    <n v="0"/>
    <n v="0"/>
    <n v="0"/>
    <n v="0"/>
    <n v="0"/>
    <n v="0"/>
    <n v="0"/>
    <n v="0"/>
    <n v="0"/>
    <n v="0"/>
    <n v="0"/>
    <s v="MMR012CMP101"/>
    <x v="4"/>
    <m/>
  </r>
  <r>
    <n v="56.8"/>
    <x v="4"/>
    <x v="167"/>
    <x v="1"/>
    <s v="DRC"/>
    <x v="0"/>
    <x v="0"/>
    <s v="Say Tha Mar Gyi"/>
    <m/>
    <m/>
    <m/>
    <m/>
    <m/>
    <m/>
    <n v="2573"/>
    <m/>
    <m/>
    <m/>
    <m/>
    <m/>
    <m/>
    <m/>
    <m/>
    <m/>
    <m/>
    <m/>
    <m/>
    <m/>
    <m/>
    <n v="0"/>
    <n v="0"/>
    <n v="0"/>
    <n v="0"/>
    <n v="0"/>
    <n v="0"/>
    <n v="0"/>
    <n v="0"/>
    <n v="0"/>
    <n v="0"/>
    <n v="0"/>
    <n v="0"/>
    <n v="0"/>
    <n v="0"/>
    <n v="0"/>
    <n v="0"/>
    <s v="MMR012CMP045"/>
    <x v="0"/>
    <m/>
  </r>
  <r>
    <n v="57.833333333333336"/>
    <x v="4"/>
    <x v="168"/>
    <x v="1"/>
    <s v="DRC"/>
    <x v="0"/>
    <x v="0"/>
    <s v="Baw Du Pha 1"/>
    <m/>
    <m/>
    <m/>
    <m/>
    <m/>
    <m/>
    <n v="1000"/>
    <m/>
    <m/>
    <m/>
    <m/>
    <m/>
    <m/>
    <m/>
    <m/>
    <m/>
    <m/>
    <m/>
    <m/>
    <m/>
    <m/>
    <n v="0"/>
    <n v="0"/>
    <n v="0"/>
    <n v="0"/>
    <n v="0"/>
    <n v="0"/>
    <n v="0"/>
    <n v="0"/>
    <n v="0"/>
    <n v="0"/>
    <n v="0"/>
    <n v="0"/>
    <n v="0"/>
    <n v="0"/>
    <n v="0"/>
    <n v="0"/>
    <s v="MMR012CMP113"/>
    <x v="0"/>
    <m/>
  </r>
  <r>
    <n v="57.833333333333336"/>
    <x v="4"/>
    <x v="168"/>
    <x v="1"/>
    <s v="DRC"/>
    <x v="0"/>
    <x v="0"/>
    <s v="Baw Du Pha 2"/>
    <m/>
    <m/>
    <m/>
    <m/>
    <m/>
    <m/>
    <n v="1320"/>
    <m/>
    <m/>
    <m/>
    <m/>
    <m/>
    <m/>
    <m/>
    <m/>
    <m/>
    <m/>
    <m/>
    <m/>
    <m/>
    <m/>
    <n v="0"/>
    <n v="0"/>
    <n v="0"/>
    <n v="0"/>
    <n v="0"/>
    <n v="0"/>
    <n v="0"/>
    <n v="0"/>
    <n v="0"/>
    <n v="0"/>
    <n v="0"/>
    <n v="0"/>
    <n v="0"/>
    <n v="0"/>
    <n v="0"/>
    <n v="0"/>
    <s v="MMR012CMP114"/>
    <x v="0"/>
    <m/>
  </r>
  <r>
    <n v="57.833333333333336"/>
    <x v="4"/>
    <x v="168"/>
    <x v="1"/>
    <s v="DRC"/>
    <x v="0"/>
    <x v="0"/>
    <s v="Dar Pai (IDP in host families)"/>
    <m/>
    <m/>
    <m/>
    <m/>
    <m/>
    <m/>
    <n v="1400"/>
    <m/>
    <m/>
    <m/>
    <m/>
    <m/>
    <m/>
    <m/>
    <m/>
    <m/>
    <m/>
    <m/>
    <m/>
    <m/>
    <m/>
    <n v="0"/>
    <n v="0"/>
    <n v="0"/>
    <n v="0"/>
    <n v="0"/>
    <n v="0"/>
    <n v="0"/>
    <n v="0"/>
    <n v="0"/>
    <n v="0"/>
    <n v="0"/>
    <n v="0"/>
    <n v="0"/>
    <n v="0"/>
    <n v="0"/>
    <n v="0"/>
    <s v="MMR012CMP097"/>
    <x v="0"/>
    <m/>
  </r>
  <r>
    <n v="57.833333333333336"/>
    <x v="4"/>
    <x v="168"/>
    <x v="1"/>
    <s v="DRC"/>
    <x v="0"/>
    <x v="0"/>
    <s v="Ohn Taw Gyi (North)"/>
    <m/>
    <m/>
    <m/>
    <m/>
    <m/>
    <m/>
    <n v="2549"/>
    <m/>
    <m/>
    <m/>
    <m/>
    <m/>
    <m/>
    <m/>
    <m/>
    <m/>
    <m/>
    <m/>
    <m/>
    <m/>
    <m/>
    <n v="0"/>
    <n v="0"/>
    <n v="0"/>
    <n v="0"/>
    <n v="0"/>
    <n v="0"/>
    <n v="0"/>
    <n v="0"/>
    <n v="0"/>
    <n v="0"/>
    <n v="0"/>
    <n v="0"/>
    <n v="0"/>
    <n v="0"/>
    <n v="0"/>
    <n v="0"/>
    <s v="MMR012CMP115"/>
    <x v="0"/>
    <m/>
  </r>
  <r>
    <n v="58.8"/>
    <x v="4"/>
    <x v="169"/>
    <x v="0"/>
    <s v="UNHCR"/>
    <x v="0"/>
    <x v="4"/>
    <s v="Ah Pauk Wa "/>
    <m/>
    <m/>
    <m/>
    <m/>
    <m/>
    <n v="2"/>
    <m/>
    <n v="2"/>
    <n v="1"/>
    <n v="4"/>
    <n v="1"/>
    <m/>
    <n v="2"/>
    <m/>
    <m/>
    <m/>
    <m/>
    <m/>
    <m/>
    <m/>
    <m/>
    <n v="0"/>
    <n v="0"/>
    <n v="0"/>
    <n v="0"/>
    <n v="0"/>
    <n v="0"/>
    <n v="0"/>
    <n v="0"/>
    <n v="0"/>
    <n v="0"/>
    <n v="0"/>
    <n v="0"/>
    <n v="0"/>
    <n v="0"/>
    <n v="0"/>
    <n v="0"/>
    <s v="MMR012CMP024"/>
    <x v="3"/>
    <m/>
  </r>
  <r>
    <n v="59.3"/>
    <x v="4"/>
    <x v="170"/>
    <x v="0"/>
    <s v="UNHCR"/>
    <x v="0"/>
    <x v="1"/>
    <s v="Sin Tet Maw"/>
    <m/>
    <m/>
    <m/>
    <m/>
    <m/>
    <m/>
    <m/>
    <n v="20"/>
    <n v="700"/>
    <m/>
    <m/>
    <m/>
    <n v="120"/>
    <m/>
    <m/>
    <m/>
    <m/>
    <m/>
    <m/>
    <m/>
    <m/>
    <n v="0"/>
    <n v="0"/>
    <n v="0"/>
    <n v="0"/>
    <n v="0"/>
    <n v="0"/>
    <n v="0"/>
    <n v="0"/>
    <n v="0"/>
    <n v="0"/>
    <n v="0"/>
    <n v="0"/>
    <n v="0"/>
    <n v="0"/>
    <n v="0"/>
    <n v="0"/>
    <s v="MMR012CMP019"/>
    <x v="0"/>
    <m/>
  </r>
  <r>
    <n v="59.3"/>
    <x v="4"/>
    <x v="170"/>
    <x v="0"/>
    <s v="UNHCR"/>
    <x v="0"/>
    <x v="1"/>
    <s v="Sin Tet Maw"/>
    <m/>
    <m/>
    <m/>
    <m/>
    <m/>
    <n v="807"/>
    <m/>
    <m/>
    <m/>
    <n v="807"/>
    <m/>
    <m/>
    <m/>
    <m/>
    <m/>
    <m/>
    <m/>
    <m/>
    <m/>
    <m/>
    <m/>
    <n v="0"/>
    <n v="0"/>
    <n v="0"/>
    <n v="0"/>
    <n v="0"/>
    <n v="0"/>
    <n v="0"/>
    <n v="0"/>
    <n v="0"/>
    <n v="0"/>
    <n v="0"/>
    <n v="0"/>
    <n v="0"/>
    <n v="0"/>
    <n v="0"/>
    <n v="0"/>
    <s v="MMR012CMP019"/>
    <x v="0"/>
    <m/>
  </r>
  <r>
    <n v="59.333333333333336"/>
    <x v="4"/>
    <x v="171"/>
    <x v="0"/>
    <s v="UNHCR"/>
    <x v="0"/>
    <x v="1"/>
    <s v="Nget Chaung"/>
    <m/>
    <m/>
    <m/>
    <m/>
    <m/>
    <n v="588"/>
    <m/>
    <n v="588"/>
    <n v="294"/>
    <n v="1176"/>
    <n v="294"/>
    <m/>
    <n v="588"/>
    <m/>
    <m/>
    <m/>
    <m/>
    <m/>
    <m/>
    <m/>
    <m/>
    <n v="0"/>
    <n v="0"/>
    <n v="0"/>
    <n v="0"/>
    <n v="0"/>
    <n v="0"/>
    <n v="0"/>
    <n v="0"/>
    <n v="0"/>
    <n v="0"/>
    <n v="0"/>
    <n v="0"/>
    <n v="0"/>
    <n v="0"/>
    <n v="0"/>
    <n v="0"/>
    <s v=""/>
    <x v="1"/>
    <m/>
  </r>
  <r>
    <n v="59.333333333333336"/>
    <x v="4"/>
    <x v="171"/>
    <x v="0"/>
    <s v="UNHCR"/>
    <x v="0"/>
    <x v="1"/>
    <s v="Sin Tet Maw"/>
    <m/>
    <m/>
    <m/>
    <m/>
    <m/>
    <n v="1420"/>
    <m/>
    <n v="1400"/>
    <m/>
    <n v="2800"/>
    <n v="700"/>
    <m/>
    <n v="1400"/>
    <m/>
    <m/>
    <m/>
    <m/>
    <m/>
    <m/>
    <m/>
    <m/>
    <n v="0"/>
    <n v="0"/>
    <n v="0"/>
    <n v="0"/>
    <n v="0"/>
    <n v="0"/>
    <n v="0"/>
    <n v="0"/>
    <n v="0"/>
    <n v="0"/>
    <n v="0"/>
    <n v="0"/>
    <n v="0"/>
    <n v="0"/>
    <n v="0"/>
    <n v="0"/>
    <s v="MMR012CMP019"/>
    <x v="0"/>
    <m/>
  </r>
  <r>
    <n v="59.633333333333333"/>
    <x v="4"/>
    <x v="172"/>
    <x v="0"/>
    <s v="UNHCR"/>
    <x v="0"/>
    <x v="0"/>
    <s v="Ohn Taw Chay"/>
    <m/>
    <m/>
    <m/>
    <m/>
    <m/>
    <n v="10"/>
    <n v="5"/>
    <n v="15"/>
    <n v="5"/>
    <m/>
    <m/>
    <m/>
    <n v="10"/>
    <m/>
    <m/>
    <m/>
    <m/>
    <m/>
    <m/>
    <m/>
    <m/>
    <n v="0"/>
    <n v="0"/>
    <n v="0"/>
    <n v="0"/>
    <n v="0"/>
    <n v="0"/>
    <n v="0"/>
    <n v="0"/>
    <n v="0"/>
    <n v="0"/>
    <n v="0"/>
    <n v="0"/>
    <n v="0"/>
    <n v="0"/>
    <n v="0"/>
    <n v="0"/>
    <s v="MMR012CMP098"/>
    <x v="0"/>
    <m/>
  </r>
  <r>
    <n v="59.766666666666666"/>
    <x v="4"/>
    <x v="173"/>
    <x v="0"/>
    <s v="UNHCR"/>
    <x v="0"/>
    <x v="4"/>
    <s v="Ah Pauk Wa "/>
    <m/>
    <m/>
    <m/>
    <m/>
    <n v="1"/>
    <n v="2"/>
    <m/>
    <n v="2"/>
    <n v="1"/>
    <n v="1"/>
    <n v="1"/>
    <m/>
    <n v="2"/>
    <m/>
    <m/>
    <m/>
    <m/>
    <m/>
    <m/>
    <m/>
    <m/>
    <n v="0"/>
    <n v="0"/>
    <n v="0"/>
    <n v="0"/>
    <n v="0"/>
    <n v="0"/>
    <n v="0"/>
    <n v="0"/>
    <n v="0"/>
    <n v="0"/>
    <n v="0"/>
    <n v="0"/>
    <n v="0"/>
    <n v="0"/>
    <n v="0"/>
    <n v="0"/>
    <s v="MMR012CMP024"/>
    <x v="3"/>
    <m/>
  </r>
  <r>
    <n v="59.766666666666666"/>
    <x v="4"/>
    <x v="173"/>
    <x v="0"/>
    <s v="UNHCR"/>
    <x v="0"/>
    <x v="0"/>
    <s v="Ohn Taw Chay"/>
    <m/>
    <m/>
    <m/>
    <n v="30"/>
    <m/>
    <n v="50"/>
    <n v="25"/>
    <n v="75"/>
    <n v="25"/>
    <m/>
    <m/>
    <m/>
    <n v="50"/>
    <m/>
    <m/>
    <m/>
    <m/>
    <m/>
    <m/>
    <m/>
    <m/>
    <n v="0"/>
    <n v="0"/>
    <n v="0"/>
    <n v="0"/>
    <n v="0"/>
    <n v="0"/>
    <n v="0"/>
    <n v="0"/>
    <n v="0"/>
    <n v="0"/>
    <n v="0"/>
    <n v="0"/>
    <n v="0"/>
    <n v="0"/>
    <n v="0"/>
    <n v="0"/>
    <s v="MMR012CMP098"/>
    <x v="0"/>
    <m/>
  </r>
  <r>
    <n v="59.833333333333336"/>
    <x v="5"/>
    <x v="174"/>
    <x v="0"/>
    <s v="UNHCR"/>
    <x v="0"/>
    <x v="0"/>
    <s v="Ohn Taw Chay"/>
    <m/>
    <m/>
    <m/>
    <m/>
    <m/>
    <n v="800"/>
    <m/>
    <m/>
    <m/>
    <m/>
    <m/>
    <m/>
    <m/>
    <m/>
    <m/>
    <m/>
    <m/>
    <m/>
    <m/>
    <m/>
    <m/>
    <n v="0"/>
    <n v="0"/>
    <n v="0"/>
    <n v="0"/>
    <n v="0"/>
    <n v="0"/>
    <n v="0"/>
    <n v="0"/>
    <n v="0"/>
    <n v="0"/>
    <n v="0"/>
    <n v="0"/>
    <n v="0"/>
    <n v="0"/>
    <n v="0"/>
    <n v="0"/>
    <s v="MMR012CMP098"/>
    <x v="0"/>
    <m/>
  </r>
  <r>
    <n v="59.833333333333336"/>
    <x v="5"/>
    <x v="174"/>
    <x v="0"/>
    <s v="UNHCR"/>
    <x v="0"/>
    <x v="0"/>
    <s v="Ohn Taw Chay"/>
    <m/>
    <m/>
    <m/>
    <m/>
    <m/>
    <m/>
    <m/>
    <n v="800"/>
    <n v="400"/>
    <m/>
    <n v="400"/>
    <m/>
    <n v="800"/>
    <m/>
    <m/>
    <m/>
    <m/>
    <m/>
    <m/>
    <m/>
    <m/>
    <n v="0"/>
    <n v="0"/>
    <n v="0"/>
    <n v="0"/>
    <n v="0"/>
    <n v="0"/>
    <n v="0"/>
    <n v="0"/>
    <n v="0"/>
    <n v="0"/>
    <n v="0"/>
    <n v="0"/>
    <n v="0"/>
    <n v="0"/>
    <n v="0"/>
    <n v="0"/>
    <s v="MMR012CMP098"/>
    <x v="0"/>
    <m/>
  </r>
  <r>
    <n v="59.833333333333336"/>
    <x v="5"/>
    <x v="174"/>
    <x v="0"/>
    <s v="UNHCR"/>
    <x v="0"/>
    <x v="0"/>
    <s v="Ohn Taw Chay"/>
    <m/>
    <m/>
    <m/>
    <m/>
    <m/>
    <m/>
    <n v="309"/>
    <m/>
    <m/>
    <m/>
    <m/>
    <m/>
    <m/>
    <m/>
    <m/>
    <m/>
    <m/>
    <m/>
    <m/>
    <m/>
    <m/>
    <n v="0"/>
    <n v="0"/>
    <n v="0"/>
    <n v="0"/>
    <n v="0"/>
    <n v="0"/>
    <n v="0"/>
    <n v="0"/>
    <n v="0"/>
    <n v="0"/>
    <n v="0"/>
    <n v="0"/>
    <n v="0"/>
    <n v="0"/>
    <n v="0"/>
    <n v="0"/>
    <s v="MMR012CMP098"/>
    <x v="0"/>
    <m/>
  </r>
  <r>
    <n v="60.43333333333333"/>
    <x v="5"/>
    <x v="175"/>
    <x v="0"/>
    <s v="UNHCR"/>
    <x v="0"/>
    <x v="1"/>
    <s v="Nget Chaung"/>
    <m/>
    <m/>
    <m/>
    <m/>
    <m/>
    <n v="1966"/>
    <m/>
    <n v="1966"/>
    <n v="983"/>
    <n v="983"/>
    <n v="983"/>
    <m/>
    <n v="1966"/>
    <m/>
    <m/>
    <m/>
    <m/>
    <m/>
    <m/>
    <m/>
    <m/>
    <n v="0"/>
    <n v="0"/>
    <n v="0"/>
    <n v="0"/>
    <n v="0"/>
    <n v="0"/>
    <n v="0"/>
    <n v="0"/>
    <n v="0"/>
    <n v="0"/>
    <n v="0"/>
    <n v="0"/>
    <n v="0"/>
    <n v="0"/>
    <n v="0"/>
    <n v="0"/>
    <s v=""/>
    <x v="1"/>
    <m/>
  </r>
  <r>
    <n v="60.43333333333333"/>
    <x v="5"/>
    <x v="175"/>
    <x v="0"/>
    <s v="UNHCR"/>
    <x v="0"/>
    <x v="1"/>
    <s v="Sin Tet Maw"/>
    <m/>
    <m/>
    <m/>
    <m/>
    <m/>
    <n v="807"/>
    <n v="203"/>
    <m/>
    <m/>
    <n v="807"/>
    <m/>
    <m/>
    <m/>
    <m/>
    <m/>
    <m/>
    <m/>
    <m/>
    <m/>
    <m/>
    <m/>
    <n v="0"/>
    <n v="0"/>
    <n v="0"/>
    <n v="0"/>
    <n v="0"/>
    <n v="0"/>
    <n v="0"/>
    <n v="0"/>
    <n v="0"/>
    <n v="0"/>
    <n v="0"/>
    <n v="0"/>
    <n v="0"/>
    <n v="0"/>
    <n v="0"/>
    <n v="0"/>
    <s v="MMR012CMP019"/>
    <x v="0"/>
    <m/>
  </r>
  <r>
    <n v="60.466666666666669"/>
    <x v="5"/>
    <x v="176"/>
    <x v="14"/>
    <s v="RI"/>
    <x v="0"/>
    <x v="2"/>
    <s v="Taung Paw "/>
    <n v="743"/>
    <m/>
    <m/>
    <m/>
    <m/>
    <n v="743"/>
    <m/>
    <n v="743"/>
    <m/>
    <m/>
    <n v="743"/>
    <m/>
    <m/>
    <m/>
    <m/>
    <m/>
    <m/>
    <m/>
    <m/>
    <m/>
    <m/>
    <n v="0"/>
    <n v="0"/>
    <n v="0"/>
    <n v="0"/>
    <n v="0"/>
    <n v="0"/>
    <n v="0"/>
    <n v="0"/>
    <n v="0"/>
    <n v="0"/>
    <n v="0"/>
    <n v="0"/>
    <n v="0"/>
    <n v="0"/>
    <n v="0"/>
    <n v="0"/>
    <s v="MMR012CMP014"/>
    <x v="0"/>
    <m/>
  </r>
  <r>
    <n v="60.7"/>
    <x v="5"/>
    <x v="177"/>
    <x v="0"/>
    <s v="UNHCR"/>
    <x v="0"/>
    <x v="0"/>
    <s v="Ohn Taw Gyi (North)"/>
    <m/>
    <m/>
    <m/>
    <m/>
    <m/>
    <n v="2400"/>
    <m/>
    <n v="2400"/>
    <n v="1200"/>
    <m/>
    <n v="1200"/>
    <m/>
    <n v="6000"/>
    <m/>
    <m/>
    <m/>
    <m/>
    <m/>
    <m/>
    <m/>
    <m/>
    <n v="0"/>
    <n v="0"/>
    <n v="0"/>
    <n v="0"/>
    <n v="0"/>
    <n v="0"/>
    <n v="0"/>
    <n v="0"/>
    <n v="0"/>
    <n v="0"/>
    <n v="0"/>
    <n v="0"/>
    <n v="0"/>
    <n v="0"/>
    <n v="0"/>
    <n v="0"/>
    <s v="MMR012CMP115"/>
    <x v="0"/>
    <m/>
  </r>
  <r>
    <n v="60.7"/>
    <x v="5"/>
    <x v="177"/>
    <x v="0"/>
    <s v="UNHCR"/>
    <x v="0"/>
    <x v="0"/>
    <s v="Ohn Taw Gyi (North)"/>
    <m/>
    <m/>
    <m/>
    <m/>
    <m/>
    <m/>
    <n v="33"/>
    <m/>
    <m/>
    <m/>
    <m/>
    <m/>
    <m/>
    <m/>
    <m/>
    <m/>
    <m/>
    <m/>
    <m/>
    <m/>
    <m/>
    <n v="0"/>
    <n v="0"/>
    <n v="0"/>
    <n v="0"/>
    <n v="0"/>
    <n v="0"/>
    <n v="0"/>
    <n v="0"/>
    <n v="0"/>
    <n v="0"/>
    <n v="0"/>
    <n v="0"/>
    <n v="0"/>
    <n v="0"/>
    <n v="0"/>
    <n v="0"/>
    <s v="MMR012CMP115"/>
    <x v="0"/>
    <m/>
  </r>
  <r>
    <n v="61.233333333333334"/>
    <x v="5"/>
    <x v="178"/>
    <x v="2"/>
    <s v="LWF"/>
    <x v="0"/>
    <x v="0"/>
    <s v="Ohn Taw Gyi (South)"/>
    <m/>
    <m/>
    <m/>
    <n v="731"/>
    <m/>
    <m/>
    <m/>
    <m/>
    <m/>
    <m/>
    <m/>
    <m/>
    <m/>
    <m/>
    <m/>
    <m/>
    <m/>
    <m/>
    <m/>
    <m/>
    <m/>
    <n v="0"/>
    <n v="0"/>
    <n v="0"/>
    <n v="0"/>
    <n v="0"/>
    <n v="0"/>
    <n v="0"/>
    <n v="0"/>
    <n v="0"/>
    <n v="0"/>
    <n v="0"/>
    <n v="0"/>
    <n v="0"/>
    <n v="0"/>
    <n v="0"/>
    <n v="0"/>
    <s v="MMR012CMP116"/>
    <x v="0"/>
    <m/>
  </r>
  <r>
    <n v="61.4"/>
    <x v="5"/>
    <x v="179"/>
    <x v="2"/>
    <s v="LWF"/>
    <x v="0"/>
    <x v="0"/>
    <s v="Ohn Taw Gyi (South)"/>
    <m/>
    <m/>
    <m/>
    <n v="264"/>
    <m/>
    <m/>
    <m/>
    <m/>
    <m/>
    <m/>
    <m/>
    <m/>
    <m/>
    <m/>
    <m/>
    <m/>
    <m/>
    <m/>
    <m/>
    <m/>
    <m/>
    <n v="0"/>
    <n v="0"/>
    <n v="0"/>
    <n v="0"/>
    <n v="0"/>
    <n v="0"/>
    <n v="0"/>
    <n v="0"/>
    <n v="0"/>
    <n v="0"/>
    <n v="0"/>
    <n v="0"/>
    <n v="0"/>
    <n v="0"/>
    <n v="0"/>
    <n v="0"/>
    <s v="MMR012CMP116"/>
    <x v="0"/>
    <m/>
  </r>
  <r>
    <n v="61.43333333333333"/>
    <x v="5"/>
    <x v="180"/>
    <x v="0"/>
    <s v="UNHCR"/>
    <x v="0"/>
    <x v="4"/>
    <s v="Let Saung Kauk"/>
    <n v="48"/>
    <m/>
    <m/>
    <m/>
    <m/>
    <m/>
    <m/>
    <m/>
    <m/>
    <m/>
    <m/>
    <m/>
    <m/>
    <m/>
    <m/>
    <m/>
    <m/>
    <m/>
    <m/>
    <m/>
    <m/>
    <n v="0"/>
    <n v="0"/>
    <n v="0"/>
    <n v="0"/>
    <n v="0"/>
    <n v="0"/>
    <n v="0"/>
    <n v="0"/>
    <n v="0"/>
    <n v="0"/>
    <n v="0"/>
    <n v="0"/>
    <n v="0"/>
    <n v="0"/>
    <n v="0"/>
    <n v="0"/>
    <s v="MMR012CMP020"/>
    <x v="3"/>
    <m/>
  </r>
  <r>
    <n v="61.43333333333333"/>
    <x v="5"/>
    <x v="180"/>
    <x v="0"/>
    <s v="UNHCR"/>
    <x v="0"/>
    <x v="4"/>
    <s v="Nidin"/>
    <n v="187"/>
    <m/>
    <m/>
    <m/>
    <m/>
    <m/>
    <m/>
    <m/>
    <m/>
    <m/>
    <m/>
    <m/>
    <m/>
    <m/>
    <m/>
    <m/>
    <m/>
    <m/>
    <m/>
    <m/>
    <m/>
    <n v="0"/>
    <n v="0"/>
    <n v="0"/>
    <n v="0"/>
    <n v="0"/>
    <n v="0"/>
    <n v="0"/>
    <n v="0"/>
    <n v="0"/>
    <n v="0"/>
    <n v="0"/>
    <n v="0"/>
    <n v="0"/>
    <n v="0"/>
    <n v="0"/>
    <n v="0"/>
    <s v="MMR012CMP023"/>
    <x v="0"/>
    <m/>
  </r>
  <r>
    <n v="61.43333333333333"/>
    <x v="5"/>
    <x v="180"/>
    <x v="2"/>
    <s v="LWF"/>
    <x v="0"/>
    <x v="0"/>
    <s v="Ohn Taw Gyi (South)"/>
    <m/>
    <m/>
    <m/>
    <n v="200"/>
    <m/>
    <m/>
    <m/>
    <m/>
    <m/>
    <m/>
    <m/>
    <m/>
    <m/>
    <m/>
    <m/>
    <m/>
    <m/>
    <m/>
    <m/>
    <m/>
    <m/>
    <n v="0"/>
    <n v="0"/>
    <n v="0"/>
    <n v="0"/>
    <n v="0"/>
    <n v="0"/>
    <n v="0"/>
    <n v="0"/>
    <n v="0"/>
    <n v="0"/>
    <n v="0"/>
    <n v="0"/>
    <n v="0"/>
    <n v="0"/>
    <n v="0"/>
    <n v="0"/>
    <s v="MMR012CMP116"/>
    <x v="0"/>
    <m/>
  </r>
  <r>
    <n v="61.43333333333333"/>
    <x v="5"/>
    <x v="180"/>
    <x v="2"/>
    <s v="LWF"/>
    <x v="0"/>
    <x v="0"/>
    <s v="Ohn Taw Gyi (South)"/>
    <m/>
    <m/>
    <m/>
    <n v="103"/>
    <m/>
    <m/>
    <m/>
    <m/>
    <m/>
    <m/>
    <m/>
    <m/>
    <m/>
    <m/>
    <m/>
    <m/>
    <m/>
    <m/>
    <m/>
    <m/>
    <m/>
    <n v="0"/>
    <n v="0"/>
    <n v="0"/>
    <n v="0"/>
    <n v="0"/>
    <n v="0"/>
    <n v="0"/>
    <n v="0"/>
    <n v="0"/>
    <n v="0"/>
    <n v="0"/>
    <n v="0"/>
    <n v="0"/>
    <n v="0"/>
    <n v="0"/>
    <n v="0"/>
    <s v="MMR012CMP116"/>
    <x v="0"/>
    <m/>
  </r>
  <r>
    <n v="61.43333333333333"/>
    <x v="5"/>
    <x v="180"/>
    <x v="0"/>
    <s v="UNHCR"/>
    <x v="0"/>
    <x v="4"/>
    <s v="Shwe Hlaing"/>
    <n v="340"/>
    <m/>
    <m/>
    <m/>
    <m/>
    <m/>
    <m/>
    <m/>
    <m/>
    <m/>
    <m/>
    <m/>
    <m/>
    <m/>
    <m/>
    <m/>
    <m/>
    <m/>
    <m/>
    <m/>
    <m/>
    <n v="0"/>
    <n v="0"/>
    <n v="0"/>
    <n v="0"/>
    <n v="0"/>
    <n v="0"/>
    <n v="0"/>
    <n v="0"/>
    <n v="0"/>
    <n v="0"/>
    <n v="0"/>
    <n v="0"/>
    <n v="0"/>
    <n v="0"/>
    <n v="0"/>
    <n v="0"/>
    <s v="MMR012CMP029"/>
    <x v="3"/>
    <m/>
  </r>
  <r>
    <n v="61.466666666666669"/>
    <x v="5"/>
    <x v="181"/>
    <x v="0"/>
    <s v="UNHCR"/>
    <x v="0"/>
    <x v="4"/>
    <s v="Ah Lel Kyun"/>
    <n v="36"/>
    <m/>
    <m/>
    <m/>
    <m/>
    <n v="28"/>
    <n v="83"/>
    <n v="28"/>
    <n v="14"/>
    <n v="14"/>
    <n v="14"/>
    <m/>
    <n v="28"/>
    <m/>
    <m/>
    <m/>
    <m/>
    <m/>
    <m/>
    <m/>
    <m/>
    <n v="0"/>
    <n v="0"/>
    <n v="0"/>
    <n v="0"/>
    <n v="0"/>
    <n v="0"/>
    <n v="0"/>
    <n v="0"/>
    <n v="0"/>
    <n v="0"/>
    <n v="0"/>
    <n v="0"/>
    <n v="0"/>
    <n v="0"/>
    <n v="0"/>
    <n v="0"/>
    <s v="MMR012CMP025"/>
    <x v="3"/>
    <m/>
  </r>
  <r>
    <n v="61.466666666666669"/>
    <x v="5"/>
    <x v="181"/>
    <x v="2"/>
    <s v="LWF"/>
    <x v="0"/>
    <x v="0"/>
    <s v="Basare"/>
    <m/>
    <m/>
    <m/>
    <n v="395"/>
    <m/>
    <m/>
    <m/>
    <m/>
    <m/>
    <m/>
    <m/>
    <m/>
    <m/>
    <m/>
    <m/>
    <m/>
    <m/>
    <m/>
    <m/>
    <m/>
    <m/>
    <n v="0"/>
    <n v="0"/>
    <n v="0"/>
    <n v="0"/>
    <n v="0"/>
    <n v="0"/>
    <n v="0"/>
    <n v="0"/>
    <n v="0"/>
    <n v="0"/>
    <n v="0"/>
    <n v="0"/>
    <n v="0"/>
    <n v="0"/>
    <n v="0"/>
    <n v="0"/>
    <s v="MMR012CMP039"/>
    <x v="0"/>
    <m/>
  </r>
  <r>
    <n v="61.466666666666669"/>
    <x v="5"/>
    <x v="181"/>
    <x v="0"/>
    <s v="UNHCR"/>
    <x v="0"/>
    <x v="4"/>
    <s v="Khaung Htoke"/>
    <n v="220"/>
    <m/>
    <m/>
    <m/>
    <m/>
    <m/>
    <m/>
    <m/>
    <m/>
    <m/>
    <m/>
    <m/>
    <m/>
    <m/>
    <m/>
    <m/>
    <m/>
    <m/>
    <m/>
    <m/>
    <m/>
    <n v="0"/>
    <n v="0"/>
    <n v="0"/>
    <n v="0"/>
    <n v="0"/>
    <n v="0"/>
    <n v="0"/>
    <n v="0"/>
    <n v="0"/>
    <n v="0"/>
    <n v="0"/>
    <n v="0"/>
    <n v="0"/>
    <n v="0"/>
    <n v="0"/>
    <n v="0"/>
    <s v="MMR012CMP030"/>
    <x v="2"/>
    <m/>
  </r>
  <r>
    <n v="61.466666666666669"/>
    <x v="5"/>
    <x v="181"/>
    <x v="0"/>
    <s v="UNHCR"/>
    <x v="0"/>
    <x v="4"/>
    <s v="Taung Bwe"/>
    <n v="250"/>
    <m/>
    <m/>
    <m/>
    <m/>
    <m/>
    <m/>
    <m/>
    <m/>
    <m/>
    <m/>
    <m/>
    <m/>
    <m/>
    <m/>
    <m/>
    <m/>
    <m/>
    <m/>
    <m/>
    <m/>
    <n v="0"/>
    <n v="0"/>
    <n v="0"/>
    <n v="0"/>
    <n v="0"/>
    <n v="0"/>
    <n v="0"/>
    <n v="0"/>
    <n v="0"/>
    <n v="0"/>
    <n v="0"/>
    <n v="0"/>
    <n v="0"/>
    <n v="0"/>
    <n v="0"/>
    <n v="0"/>
    <s v="MMR012CMP021"/>
    <x v="3"/>
    <m/>
  </r>
  <r>
    <n v="61.866666666666667"/>
    <x v="5"/>
    <x v="182"/>
    <x v="0"/>
    <s v="UNHCR"/>
    <x v="0"/>
    <x v="4"/>
    <s v="Goke Pi Htaunt"/>
    <n v="280"/>
    <m/>
    <m/>
    <m/>
    <m/>
    <m/>
    <m/>
    <m/>
    <m/>
    <m/>
    <m/>
    <m/>
    <m/>
    <m/>
    <m/>
    <m/>
    <m/>
    <m/>
    <m/>
    <m/>
    <m/>
    <n v="0"/>
    <n v="0"/>
    <n v="0"/>
    <n v="0"/>
    <n v="0"/>
    <n v="0"/>
    <n v="0"/>
    <n v="0"/>
    <n v="0"/>
    <n v="0"/>
    <n v="0"/>
    <n v="0"/>
    <n v="0"/>
    <n v="0"/>
    <n v="0"/>
    <n v="0"/>
    <s v="MMR012CMP027"/>
    <x v="3"/>
    <m/>
  </r>
  <r>
    <n v="61.866666666666667"/>
    <x v="5"/>
    <x v="182"/>
    <x v="0"/>
    <s v="UNHCR"/>
    <x v="0"/>
    <x v="4"/>
    <s v="In Bar Yi"/>
    <n v="380"/>
    <m/>
    <m/>
    <m/>
    <m/>
    <m/>
    <m/>
    <m/>
    <m/>
    <m/>
    <m/>
    <m/>
    <m/>
    <m/>
    <m/>
    <m/>
    <m/>
    <m/>
    <m/>
    <m/>
    <m/>
    <n v="0"/>
    <n v="0"/>
    <n v="0"/>
    <n v="0"/>
    <n v="0"/>
    <n v="0"/>
    <n v="0"/>
    <n v="0"/>
    <n v="0"/>
    <n v="0"/>
    <n v="0"/>
    <n v="0"/>
    <n v="0"/>
    <n v="0"/>
    <n v="0"/>
    <n v="0"/>
    <s v="MMR012CMP026"/>
    <x v="3"/>
    <m/>
  </r>
  <r>
    <n v="61.966666666666669"/>
    <x v="5"/>
    <x v="183"/>
    <x v="0"/>
    <s v="UNHCR"/>
    <x v="0"/>
    <x v="4"/>
    <s v="Ah Pauk Wa "/>
    <n v="230"/>
    <m/>
    <m/>
    <m/>
    <m/>
    <m/>
    <m/>
    <m/>
    <m/>
    <m/>
    <m/>
    <m/>
    <m/>
    <m/>
    <m/>
    <m/>
    <m/>
    <m/>
    <m/>
    <m/>
    <m/>
    <n v="0"/>
    <n v="0"/>
    <n v="0"/>
    <n v="0"/>
    <n v="0"/>
    <n v="0"/>
    <n v="0"/>
    <n v="0"/>
    <n v="0"/>
    <n v="0"/>
    <n v="0"/>
    <n v="0"/>
    <n v="0"/>
    <n v="0"/>
    <n v="0"/>
    <n v="0"/>
    <s v="MMR012CMP024"/>
    <x v="3"/>
    <m/>
  </r>
  <r>
    <n v="61.966666666666669"/>
    <x v="5"/>
    <x v="183"/>
    <x v="0"/>
    <s v="UNHCR"/>
    <x v="0"/>
    <x v="4"/>
    <s v="Yun Nyar"/>
    <n v="300"/>
    <m/>
    <m/>
    <m/>
    <m/>
    <m/>
    <m/>
    <m/>
    <m/>
    <m/>
    <m/>
    <m/>
    <m/>
    <m/>
    <m/>
    <m/>
    <m/>
    <m/>
    <m/>
    <m/>
    <m/>
    <n v="0"/>
    <n v="0"/>
    <n v="0"/>
    <n v="0"/>
    <n v="0"/>
    <n v="0"/>
    <n v="0"/>
    <n v="0"/>
    <n v="0"/>
    <n v="0"/>
    <n v="0"/>
    <n v="0"/>
    <n v="0"/>
    <n v="0"/>
    <n v="0"/>
    <n v="0"/>
    <s v="MMR012CMP028"/>
    <x v="3"/>
    <m/>
  </r>
  <r>
    <n v="62.166666666666664"/>
    <x v="5"/>
    <x v="184"/>
    <x v="0"/>
    <s v="UNHCR"/>
    <x v="0"/>
    <x v="0"/>
    <s v="Set Yone Su"/>
    <m/>
    <m/>
    <m/>
    <m/>
    <m/>
    <m/>
    <m/>
    <m/>
    <m/>
    <n v="250"/>
    <m/>
    <m/>
    <m/>
    <m/>
    <m/>
    <m/>
    <m/>
    <m/>
    <m/>
    <m/>
    <m/>
    <n v="0"/>
    <n v="0"/>
    <n v="0"/>
    <n v="0"/>
    <n v="0"/>
    <n v="0"/>
    <n v="0"/>
    <n v="0"/>
    <n v="0"/>
    <n v="0"/>
    <n v="0"/>
    <n v="0"/>
    <n v="0"/>
    <n v="0"/>
    <n v="0"/>
    <n v="0"/>
    <s v="MMR012CMP056"/>
    <x v="2"/>
    <m/>
  </r>
  <r>
    <n v="62.3"/>
    <x v="5"/>
    <x v="185"/>
    <x v="2"/>
    <s v="LWF"/>
    <x v="0"/>
    <x v="0"/>
    <s v="Ohn Taw Gyi (South)"/>
    <m/>
    <m/>
    <m/>
    <n v="948"/>
    <m/>
    <m/>
    <m/>
    <m/>
    <m/>
    <m/>
    <m/>
    <m/>
    <m/>
    <m/>
    <m/>
    <m/>
    <m/>
    <m/>
    <m/>
    <m/>
    <m/>
    <n v="0"/>
    <n v="0"/>
    <n v="0"/>
    <n v="0"/>
    <n v="0"/>
    <n v="0"/>
    <n v="0"/>
    <n v="0"/>
    <n v="0"/>
    <n v="0"/>
    <n v="0"/>
    <n v="0"/>
    <n v="0"/>
    <n v="0"/>
    <n v="0"/>
    <n v="0"/>
    <s v="MMR012CMP116"/>
    <x v="0"/>
    <m/>
  </r>
  <r>
    <n v="62.333333333333336"/>
    <x v="5"/>
    <x v="186"/>
    <x v="0"/>
    <s v="UNHCR"/>
    <x v="0"/>
    <x v="0"/>
    <s v="Sat Roe Kya 1"/>
    <m/>
    <m/>
    <m/>
    <m/>
    <m/>
    <m/>
    <m/>
    <m/>
    <m/>
    <n v="631"/>
    <m/>
    <m/>
    <m/>
    <m/>
    <m/>
    <m/>
    <m/>
    <m/>
    <m/>
    <m/>
    <m/>
    <n v="0"/>
    <n v="0"/>
    <n v="0"/>
    <n v="0"/>
    <n v="0"/>
    <n v="0"/>
    <n v="0"/>
    <n v="0"/>
    <n v="0"/>
    <n v="0"/>
    <n v="0"/>
    <n v="0"/>
    <n v="0"/>
    <n v="0"/>
    <n v="0"/>
    <n v="0"/>
    <s v="MMR012CMP111"/>
    <x v="2"/>
    <m/>
  </r>
  <r>
    <n v="63.266666666666666"/>
    <x v="5"/>
    <x v="187"/>
    <x v="0"/>
    <s v="UNHCR"/>
    <x v="0"/>
    <x v="1"/>
    <s v="Ba Wan Chaung Wa Su"/>
    <m/>
    <m/>
    <m/>
    <m/>
    <m/>
    <n v="42"/>
    <m/>
    <n v="42"/>
    <n v="21"/>
    <n v="21"/>
    <n v="21"/>
    <m/>
    <n v="42"/>
    <m/>
    <m/>
    <m/>
    <m/>
    <m/>
    <m/>
    <m/>
    <m/>
    <n v="0"/>
    <n v="0"/>
    <n v="0"/>
    <n v="0"/>
    <n v="0"/>
    <n v="0"/>
    <n v="0"/>
    <n v="0"/>
    <n v="0"/>
    <n v="0"/>
    <n v="0"/>
    <n v="0"/>
    <n v="0"/>
    <n v="0"/>
    <n v="0"/>
    <n v="0"/>
    <s v="MMR012CMP015"/>
    <x v="2"/>
    <m/>
  </r>
  <r>
    <n v="63.3"/>
    <x v="5"/>
    <x v="188"/>
    <x v="0"/>
    <s v="UNHCR"/>
    <x v="0"/>
    <x v="1"/>
    <s v="Kyein Ni Pyin"/>
    <m/>
    <m/>
    <m/>
    <m/>
    <m/>
    <n v="2658"/>
    <n v="940"/>
    <n v="1880"/>
    <n v="940"/>
    <n v="1718"/>
    <n v="940"/>
    <m/>
    <n v="1880"/>
    <m/>
    <m/>
    <m/>
    <m/>
    <m/>
    <m/>
    <m/>
    <m/>
    <n v="0"/>
    <n v="0"/>
    <n v="0"/>
    <n v="0"/>
    <n v="0"/>
    <n v="0"/>
    <n v="0"/>
    <n v="0"/>
    <n v="0"/>
    <n v="0"/>
    <n v="0"/>
    <n v="0"/>
    <n v="0"/>
    <n v="0"/>
    <n v="0"/>
    <n v="0"/>
    <s v="MMR012CMP018"/>
    <x v="0"/>
    <m/>
  </r>
  <r>
    <n v="63.5"/>
    <x v="5"/>
    <x v="189"/>
    <x v="0"/>
    <s v="UNHCR"/>
    <x v="0"/>
    <x v="7"/>
    <s v="Thi Kyar"/>
    <m/>
    <m/>
    <m/>
    <m/>
    <m/>
    <n v="62"/>
    <m/>
    <n v="62"/>
    <n v="31"/>
    <n v="31"/>
    <n v="31"/>
    <m/>
    <n v="62"/>
    <m/>
    <m/>
    <m/>
    <m/>
    <m/>
    <m/>
    <m/>
    <m/>
    <n v="0"/>
    <n v="0"/>
    <n v="0"/>
    <n v="0"/>
    <n v="0"/>
    <n v="0"/>
    <n v="0"/>
    <n v="0"/>
    <n v="0"/>
    <n v="0"/>
    <n v="0"/>
    <n v="0"/>
    <n v="0"/>
    <n v="0"/>
    <n v="0"/>
    <n v="0"/>
    <s v="MMR012CMP117"/>
    <x v="2"/>
    <m/>
  </r>
  <r>
    <n v="64.033333333333331"/>
    <x v="5"/>
    <x v="190"/>
    <x v="0"/>
    <s v="UNHCR"/>
    <x v="0"/>
    <x v="1"/>
    <s v="Ah Nauk Ywe"/>
    <m/>
    <m/>
    <m/>
    <m/>
    <m/>
    <n v="1652"/>
    <n v="99"/>
    <n v="1652"/>
    <n v="826"/>
    <n v="826"/>
    <n v="826"/>
    <m/>
    <n v="1652"/>
    <m/>
    <m/>
    <m/>
    <m/>
    <m/>
    <m/>
    <m/>
    <m/>
    <n v="0"/>
    <n v="0"/>
    <n v="0"/>
    <n v="0"/>
    <n v="0"/>
    <n v="0"/>
    <n v="0"/>
    <n v="0"/>
    <n v="0"/>
    <n v="0"/>
    <n v="0"/>
    <n v="0"/>
    <n v="0"/>
    <n v="0"/>
    <n v="0"/>
    <n v="0"/>
    <s v="MMR012CMP016"/>
    <x v="0"/>
    <m/>
  </r>
  <r>
    <n v="64.5"/>
    <x v="5"/>
    <x v="191"/>
    <x v="0"/>
    <s v="UNHCR"/>
    <x v="0"/>
    <x v="1"/>
    <s v="Nget Chaung"/>
    <m/>
    <m/>
    <m/>
    <m/>
    <m/>
    <n v="0"/>
    <n v="203"/>
    <n v="0"/>
    <m/>
    <m/>
    <m/>
    <m/>
    <n v="448"/>
    <m/>
    <m/>
    <m/>
    <m/>
    <m/>
    <m/>
    <m/>
    <m/>
    <n v="0"/>
    <n v="0"/>
    <n v="0"/>
    <n v="0"/>
    <n v="0"/>
    <n v="0"/>
    <n v="0"/>
    <n v="0"/>
    <n v="0"/>
    <n v="0"/>
    <n v="0"/>
    <n v="0"/>
    <n v="0"/>
    <n v="0"/>
    <n v="0"/>
    <n v="0"/>
    <s v=""/>
    <x v="1"/>
    <m/>
  </r>
  <r>
    <n v="64.666666666666671"/>
    <x v="5"/>
    <x v="192"/>
    <x v="0"/>
    <s v="UNHCR"/>
    <x v="0"/>
    <x v="2"/>
    <s v="Kan Thar Htwat Wa"/>
    <m/>
    <m/>
    <m/>
    <n v="44"/>
    <m/>
    <n v="88"/>
    <n v="44"/>
    <n v="88"/>
    <n v="44"/>
    <n v="44"/>
    <n v="44"/>
    <m/>
    <n v="88"/>
    <m/>
    <m/>
    <m/>
    <m/>
    <m/>
    <m/>
    <m/>
    <m/>
    <n v="0"/>
    <n v="0"/>
    <n v="0"/>
    <n v="0"/>
    <n v="0"/>
    <n v="0"/>
    <n v="0"/>
    <n v="0"/>
    <n v="0"/>
    <n v="0"/>
    <n v="0"/>
    <n v="0"/>
    <n v="0"/>
    <n v="0"/>
    <n v="0"/>
    <n v="0"/>
    <s v="MMR012CMP013"/>
    <x v="2"/>
    <m/>
  </r>
  <r>
    <n v="64.666666666666671"/>
    <x v="5"/>
    <x v="192"/>
    <x v="0"/>
    <s v="UNHCR"/>
    <x v="0"/>
    <x v="2"/>
    <s v="Taung Paw "/>
    <m/>
    <m/>
    <m/>
    <n v="755"/>
    <m/>
    <n v="1510"/>
    <n v="755"/>
    <n v="1510"/>
    <n v="755"/>
    <n v="755"/>
    <n v="755"/>
    <m/>
    <n v="1510"/>
    <m/>
    <m/>
    <m/>
    <m/>
    <m/>
    <m/>
    <m/>
    <m/>
    <n v="0"/>
    <n v="0"/>
    <n v="0"/>
    <n v="0"/>
    <n v="0"/>
    <n v="0"/>
    <n v="0"/>
    <n v="0"/>
    <n v="0"/>
    <n v="0"/>
    <n v="0"/>
    <n v="0"/>
    <n v="0"/>
    <n v="0"/>
    <n v="0"/>
    <n v="0"/>
    <s v="MMR012CMP014"/>
    <x v="0"/>
    <m/>
  </r>
  <r>
    <n v="65.63333333333334"/>
    <x v="5"/>
    <x v="193"/>
    <x v="0"/>
    <s v="UNHCR"/>
    <x v="0"/>
    <x v="6"/>
    <s v="San Htoe Tan"/>
    <m/>
    <m/>
    <m/>
    <m/>
    <m/>
    <n v="240"/>
    <m/>
    <n v="240"/>
    <n v="120"/>
    <n v="120"/>
    <n v="120"/>
    <m/>
    <n v="240"/>
    <m/>
    <m/>
    <m/>
    <m/>
    <m/>
    <m/>
    <m/>
    <m/>
    <n v="0"/>
    <n v="0"/>
    <n v="0"/>
    <n v="0"/>
    <n v="0"/>
    <n v="0"/>
    <n v="0"/>
    <n v="0"/>
    <n v="0"/>
    <n v="0"/>
    <n v="0"/>
    <n v="0"/>
    <n v="0"/>
    <n v="0"/>
    <n v="0"/>
    <n v="0"/>
    <s v="MMR012CMP003"/>
    <x v="3"/>
    <m/>
  </r>
  <r>
    <n v="65.63333333333334"/>
    <x v="5"/>
    <x v="193"/>
    <x v="0"/>
    <s v="UNHCR"/>
    <x v="0"/>
    <x v="6"/>
    <s v="Tha Dar"/>
    <m/>
    <m/>
    <m/>
    <m/>
    <m/>
    <n v="428"/>
    <m/>
    <n v="428"/>
    <n v="214"/>
    <n v="214"/>
    <n v="214"/>
    <m/>
    <n v="428"/>
    <m/>
    <m/>
    <m/>
    <m/>
    <m/>
    <m/>
    <m/>
    <m/>
    <n v="0"/>
    <n v="0"/>
    <n v="0"/>
    <n v="0"/>
    <n v="0"/>
    <n v="0"/>
    <n v="0"/>
    <n v="0"/>
    <n v="0"/>
    <n v="0"/>
    <n v="0"/>
    <n v="0"/>
    <n v="0"/>
    <n v="0"/>
    <n v="0"/>
    <n v="0"/>
    <s v="MMR012CMP002"/>
    <x v="3"/>
    <m/>
  </r>
  <r>
    <n v="65.666666666666671"/>
    <x v="5"/>
    <x v="194"/>
    <x v="0"/>
    <s v="UNHCR"/>
    <x v="0"/>
    <x v="6"/>
    <s v="Aung Taing"/>
    <m/>
    <m/>
    <m/>
    <m/>
    <m/>
    <n v="290"/>
    <n v="1312"/>
    <n v="290"/>
    <n v="145"/>
    <n v="145"/>
    <n v="145"/>
    <m/>
    <n v="290"/>
    <m/>
    <m/>
    <m/>
    <m/>
    <m/>
    <m/>
    <m/>
    <m/>
    <n v="0"/>
    <n v="0"/>
    <n v="0"/>
    <n v="0"/>
    <n v="0"/>
    <n v="0"/>
    <n v="0"/>
    <n v="0"/>
    <n v="0"/>
    <n v="0"/>
    <n v="0"/>
    <n v="0"/>
    <n v="0"/>
    <n v="0"/>
    <n v="0"/>
    <n v="0"/>
    <s v="MMR012CMP006"/>
    <x v="3"/>
    <m/>
  </r>
  <r>
    <n v="65.666666666666671"/>
    <x v="5"/>
    <x v="194"/>
    <x v="0"/>
    <s v="UNHCR"/>
    <x v="0"/>
    <x v="6"/>
    <s v="Paik Thay"/>
    <m/>
    <m/>
    <m/>
    <m/>
    <m/>
    <n v="130"/>
    <n v="108"/>
    <n v="130"/>
    <n v="65"/>
    <n v="65"/>
    <n v="65"/>
    <m/>
    <n v="130"/>
    <m/>
    <m/>
    <m/>
    <m/>
    <m/>
    <m/>
    <m/>
    <m/>
    <n v="0"/>
    <n v="0"/>
    <n v="0"/>
    <n v="0"/>
    <n v="0"/>
    <n v="0"/>
    <n v="0"/>
    <n v="0"/>
    <n v="0"/>
    <n v="0"/>
    <n v="0"/>
    <n v="0"/>
    <n v="0"/>
    <n v="0"/>
    <n v="0"/>
    <n v="0"/>
    <s v="MMR012CMP001"/>
    <x v="3"/>
    <m/>
  </r>
  <r>
    <n v="65.666666666666671"/>
    <x v="5"/>
    <x v="194"/>
    <x v="0"/>
    <s v="UNHCR"/>
    <x v="0"/>
    <x v="6"/>
    <s v="Sam Ba Le"/>
    <m/>
    <m/>
    <m/>
    <m/>
    <m/>
    <n v="490"/>
    <m/>
    <n v="490"/>
    <n v="245"/>
    <n v="245"/>
    <n v="245"/>
    <m/>
    <n v="490"/>
    <m/>
    <m/>
    <m/>
    <m/>
    <m/>
    <m/>
    <m/>
    <m/>
    <n v="0"/>
    <n v="0"/>
    <n v="0"/>
    <n v="0"/>
    <n v="0"/>
    <n v="0"/>
    <n v="0"/>
    <n v="0"/>
    <n v="0"/>
    <n v="0"/>
    <n v="0"/>
    <n v="0"/>
    <n v="0"/>
    <n v="0"/>
    <n v="0"/>
    <n v="0"/>
    <s v="MMR012CMP008"/>
    <x v="3"/>
    <m/>
  </r>
  <r>
    <n v="65.666666666666671"/>
    <x v="5"/>
    <x v="194"/>
    <x v="0"/>
    <s v="UNHCR"/>
    <x v="0"/>
    <x v="6"/>
    <s v="Thay Kan"/>
    <m/>
    <m/>
    <m/>
    <n v="33"/>
    <m/>
    <n v="66"/>
    <n v="33"/>
    <n v="66"/>
    <n v="33"/>
    <n v="33"/>
    <n v="33"/>
    <m/>
    <n v="66"/>
    <m/>
    <m/>
    <m/>
    <m/>
    <m/>
    <m/>
    <m/>
    <m/>
    <n v="0"/>
    <n v="0"/>
    <n v="0"/>
    <n v="0"/>
    <n v="0"/>
    <n v="0"/>
    <n v="0"/>
    <n v="0"/>
    <n v="0"/>
    <n v="0"/>
    <n v="0"/>
    <n v="0"/>
    <n v="0"/>
    <n v="0"/>
    <n v="0"/>
    <n v="0"/>
    <s v="MMR012CMP007"/>
    <x v="4"/>
    <m/>
  </r>
  <r>
    <n v="65.666666666666671"/>
    <x v="5"/>
    <x v="194"/>
    <x v="0"/>
    <s v="UNHCR"/>
    <x v="0"/>
    <x v="6"/>
    <s v="Thay Kan"/>
    <m/>
    <m/>
    <m/>
    <m/>
    <m/>
    <m/>
    <m/>
    <m/>
    <m/>
    <m/>
    <m/>
    <m/>
    <m/>
    <m/>
    <m/>
    <m/>
    <m/>
    <m/>
    <m/>
    <m/>
    <m/>
    <n v="0"/>
    <n v="0"/>
    <n v="0"/>
    <n v="0"/>
    <n v="0"/>
    <n v="0"/>
    <n v="0"/>
    <n v="0"/>
    <n v="0"/>
    <n v="0"/>
    <n v="0"/>
    <n v="0"/>
    <n v="0"/>
    <n v="0"/>
    <n v="0"/>
    <n v="0"/>
    <s v="MMR012CMP007"/>
    <x v="4"/>
    <m/>
  </r>
  <r>
    <n v="65.766666666666666"/>
    <x v="5"/>
    <x v="195"/>
    <x v="0"/>
    <s v="UNHCR"/>
    <x v="0"/>
    <x v="7"/>
    <s v="Pa Rein"/>
    <m/>
    <m/>
    <m/>
    <m/>
    <m/>
    <n v="600"/>
    <n v="5"/>
    <n v="600"/>
    <n v="300"/>
    <n v="300"/>
    <n v="300"/>
    <m/>
    <n v="600"/>
    <m/>
    <m/>
    <m/>
    <m/>
    <m/>
    <m/>
    <m/>
    <m/>
    <n v="0"/>
    <n v="0"/>
    <n v="0"/>
    <n v="0"/>
    <n v="0"/>
    <n v="0"/>
    <n v="0"/>
    <n v="0"/>
    <n v="0"/>
    <n v="0"/>
    <n v="0"/>
    <n v="0"/>
    <n v="0"/>
    <n v="0"/>
    <n v="0"/>
    <n v="0"/>
    <s v="MMR012CMP009"/>
    <x v="3"/>
    <m/>
  </r>
  <r>
    <n v="65.766666666666666"/>
    <x v="5"/>
    <x v="195"/>
    <x v="0"/>
    <s v="UNHCR"/>
    <x v="0"/>
    <x v="6"/>
    <s v="Tha Yet Oak"/>
    <m/>
    <m/>
    <m/>
    <m/>
    <m/>
    <n v="458"/>
    <m/>
    <n v="458"/>
    <n v="229"/>
    <n v="229"/>
    <n v="229"/>
    <m/>
    <n v="458"/>
    <m/>
    <m/>
    <m/>
    <m/>
    <m/>
    <m/>
    <m/>
    <m/>
    <n v="0"/>
    <n v="0"/>
    <n v="0"/>
    <n v="0"/>
    <n v="0"/>
    <n v="0"/>
    <n v="0"/>
    <n v="0"/>
    <n v="0"/>
    <n v="0"/>
    <n v="0"/>
    <n v="0"/>
    <n v="0"/>
    <n v="0"/>
    <n v="0"/>
    <n v="0"/>
    <s v="MMR012CMP005"/>
    <x v="3"/>
    <m/>
  </r>
  <r>
    <n v="65.766666666666666"/>
    <x v="5"/>
    <x v="195"/>
    <x v="0"/>
    <s v="UNHCR"/>
    <x v="0"/>
    <x v="7"/>
    <s v="Yai Thei-Muslim"/>
    <m/>
    <m/>
    <m/>
    <m/>
    <m/>
    <n v="730"/>
    <m/>
    <n v="730"/>
    <n v="365"/>
    <n v="365"/>
    <n v="365"/>
    <m/>
    <n v="730"/>
    <m/>
    <m/>
    <m/>
    <m/>
    <m/>
    <m/>
    <m/>
    <m/>
    <n v="0"/>
    <n v="0"/>
    <n v="0"/>
    <n v="0"/>
    <n v="0"/>
    <n v="0"/>
    <n v="0"/>
    <n v="0"/>
    <n v="0"/>
    <n v="0"/>
    <n v="0"/>
    <n v="0"/>
    <n v="0"/>
    <n v="0"/>
    <n v="0"/>
    <n v="0"/>
    <s v="MMR012CMP010"/>
    <x v="3"/>
    <m/>
  </r>
  <r>
    <n v="65.933333333333337"/>
    <x v="5"/>
    <x v="196"/>
    <x v="0"/>
    <s v="UNHCR"/>
    <x v="0"/>
    <x v="4"/>
    <s v="Ah Pauk Wa "/>
    <m/>
    <m/>
    <m/>
    <m/>
    <m/>
    <n v="224"/>
    <n v="400"/>
    <n v="224"/>
    <n v="112"/>
    <n v="112"/>
    <n v="112"/>
    <m/>
    <n v="224"/>
    <m/>
    <m/>
    <m/>
    <m/>
    <m/>
    <m/>
    <m/>
    <m/>
    <n v="0"/>
    <n v="0"/>
    <n v="0"/>
    <n v="0"/>
    <n v="0"/>
    <n v="0"/>
    <n v="0"/>
    <n v="0"/>
    <n v="0"/>
    <n v="0"/>
    <n v="0"/>
    <n v="0"/>
    <n v="0"/>
    <n v="0"/>
    <n v="0"/>
    <n v="0"/>
    <s v="MMR012CMP024"/>
    <x v="3"/>
    <m/>
  </r>
  <r>
    <n v="65.933333333333337"/>
    <x v="5"/>
    <x v="196"/>
    <x v="0"/>
    <s v="UNHCR"/>
    <x v="0"/>
    <x v="4"/>
    <s v="Goke Pi Htaunt"/>
    <m/>
    <m/>
    <m/>
    <m/>
    <m/>
    <n v="232"/>
    <n v="220"/>
    <n v="232"/>
    <n v="116"/>
    <n v="116"/>
    <n v="116"/>
    <m/>
    <n v="232"/>
    <m/>
    <m/>
    <m/>
    <m/>
    <m/>
    <m/>
    <m/>
    <m/>
    <n v="0"/>
    <n v="0"/>
    <n v="0"/>
    <n v="0"/>
    <n v="0"/>
    <n v="0"/>
    <n v="0"/>
    <n v="0"/>
    <n v="0"/>
    <n v="0"/>
    <n v="0"/>
    <n v="0"/>
    <n v="0"/>
    <n v="0"/>
    <n v="0"/>
    <n v="0"/>
    <s v="MMR012CMP027"/>
    <x v="3"/>
    <m/>
  </r>
  <r>
    <n v="65.933333333333337"/>
    <x v="5"/>
    <x v="196"/>
    <x v="0"/>
    <s v="UNHCR"/>
    <x v="0"/>
    <x v="4"/>
    <s v="In Bar Yi"/>
    <m/>
    <m/>
    <m/>
    <m/>
    <m/>
    <n v="460"/>
    <n v="145"/>
    <n v="460"/>
    <n v="230"/>
    <n v="230"/>
    <n v="230"/>
    <m/>
    <n v="460"/>
    <m/>
    <m/>
    <m/>
    <m/>
    <m/>
    <m/>
    <m/>
    <m/>
    <n v="0"/>
    <n v="0"/>
    <n v="0"/>
    <n v="0"/>
    <n v="0"/>
    <n v="0"/>
    <n v="0"/>
    <n v="0"/>
    <n v="0"/>
    <n v="0"/>
    <n v="0"/>
    <n v="0"/>
    <n v="0"/>
    <n v="0"/>
    <n v="0"/>
    <n v="0"/>
    <s v="MMR012CMP026"/>
    <x v="3"/>
    <m/>
  </r>
  <r>
    <n v="65.933333333333337"/>
    <x v="5"/>
    <x v="196"/>
    <x v="0"/>
    <s v="UNHCR"/>
    <x v="0"/>
    <x v="4"/>
    <s v="Khaung Htoke"/>
    <m/>
    <m/>
    <m/>
    <m/>
    <m/>
    <n v="318"/>
    <n v="4"/>
    <n v="318"/>
    <n v="159"/>
    <n v="159"/>
    <n v="159"/>
    <m/>
    <n v="318"/>
    <m/>
    <m/>
    <m/>
    <m/>
    <m/>
    <m/>
    <m/>
    <m/>
    <n v="0"/>
    <n v="0"/>
    <n v="0"/>
    <n v="0"/>
    <n v="0"/>
    <n v="0"/>
    <n v="0"/>
    <n v="0"/>
    <n v="0"/>
    <n v="0"/>
    <n v="0"/>
    <n v="0"/>
    <n v="0"/>
    <n v="0"/>
    <n v="0"/>
    <n v="0"/>
    <s v="MMR012CMP030"/>
    <x v="2"/>
    <m/>
  </r>
  <r>
    <n v="65.933333333333337"/>
    <x v="5"/>
    <x v="196"/>
    <x v="22"/>
    <s v="UNHCR"/>
    <x v="0"/>
    <x v="4"/>
    <s v="Let Saung Kauk"/>
    <m/>
    <m/>
    <m/>
    <m/>
    <n v="60"/>
    <m/>
    <m/>
    <m/>
    <m/>
    <m/>
    <m/>
    <m/>
    <m/>
    <m/>
    <m/>
    <m/>
    <m/>
    <m/>
    <m/>
    <m/>
    <m/>
    <n v="0"/>
    <n v="0"/>
    <n v="0"/>
    <n v="0"/>
    <n v="0"/>
    <n v="0"/>
    <n v="0"/>
    <n v="0"/>
    <n v="0"/>
    <n v="0"/>
    <n v="0"/>
    <n v="0"/>
    <n v="0"/>
    <n v="0"/>
    <n v="0"/>
    <n v="0"/>
    <s v="MMR012CMP020"/>
    <x v="3"/>
    <m/>
  </r>
  <r>
    <n v="65.933333333333337"/>
    <x v="5"/>
    <x v="196"/>
    <x v="0"/>
    <s v="UNHCR"/>
    <x v="0"/>
    <x v="4"/>
    <s v="Let Saung Kauk"/>
    <m/>
    <m/>
    <m/>
    <m/>
    <m/>
    <n v="166"/>
    <n v="81"/>
    <n v="166"/>
    <n v="83"/>
    <n v="83"/>
    <n v="83"/>
    <m/>
    <n v="166"/>
    <m/>
    <m/>
    <m/>
    <m/>
    <m/>
    <m/>
    <m/>
    <m/>
    <n v="0"/>
    <n v="0"/>
    <n v="0"/>
    <n v="0"/>
    <n v="0"/>
    <n v="0"/>
    <n v="0"/>
    <n v="0"/>
    <n v="0"/>
    <n v="0"/>
    <n v="0"/>
    <n v="0"/>
    <n v="0"/>
    <n v="0"/>
    <n v="0"/>
    <n v="0"/>
    <s v="MMR012CMP020"/>
    <x v="3"/>
    <m/>
  </r>
  <r>
    <n v="65.933333333333337"/>
    <x v="5"/>
    <x v="196"/>
    <x v="0"/>
    <s v="UNHCR"/>
    <x v="0"/>
    <x v="4"/>
    <s v="Nidin"/>
    <m/>
    <m/>
    <m/>
    <m/>
    <m/>
    <n v="326"/>
    <n v="326"/>
    <n v="326"/>
    <n v="163"/>
    <n v="163"/>
    <n v="163"/>
    <m/>
    <n v="326"/>
    <m/>
    <m/>
    <m/>
    <m/>
    <m/>
    <m/>
    <m/>
    <m/>
    <n v="0"/>
    <n v="0"/>
    <n v="0"/>
    <n v="0"/>
    <n v="0"/>
    <n v="0"/>
    <n v="0"/>
    <n v="0"/>
    <n v="0"/>
    <n v="0"/>
    <n v="0"/>
    <n v="0"/>
    <n v="0"/>
    <n v="0"/>
    <n v="0"/>
    <n v="0"/>
    <s v="MMR012CMP023"/>
    <x v="0"/>
    <m/>
  </r>
  <r>
    <n v="65.933333333333337"/>
    <x v="5"/>
    <x v="196"/>
    <x v="0"/>
    <s v="UNHCR"/>
    <x v="0"/>
    <x v="4"/>
    <s v="Shwe Hlaing"/>
    <m/>
    <m/>
    <m/>
    <m/>
    <m/>
    <n v="290"/>
    <m/>
    <n v="290"/>
    <n v="145"/>
    <n v="145"/>
    <n v="145"/>
    <m/>
    <n v="290"/>
    <m/>
    <m/>
    <m/>
    <m/>
    <m/>
    <m/>
    <m/>
    <m/>
    <n v="0"/>
    <n v="0"/>
    <n v="0"/>
    <n v="0"/>
    <n v="0"/>
    <n v="0"/>
    <n v="0"/>
    <n v="0"/>
    <n v="0"/>
    <n v="0"/>
    <n v="0"/>
    <n v="0"/>
    <n v="0"/>
    <n v="0"/>
    <n v="0"/>
    <n v="0"/>
    <s v="MMR012CMP029"/>
    <x v="3"/>
    <m/>
  </r>
  <r>
    <n v="65.933333333333337"/>
    <x v="5"/>
    <x v="196"/>
    <x v="0"/>
    <s v="UNHCR"/>
    <x v="0"/>
    <x v="4"/>
    <s v="Taung Bwe"/>
    <m/>
    <m/>
    <m/>
    <m/>
    <m/>
    <n v="190"/>
    <m/>
    <n v="190"/>
    <n v="95"/>
    <n v="95"/>
    <n v="95"/>
    <m/>
    <n v="190"/>
    <m/>
    <m/>
    <m/>
    <m/>
    <m/>
    <m/>
    <m/>
    <m/>
    <n v="0"/>
    <n v="0"/>
    <n v="0"/>
    <n v="0"/>
    <n v="0"/>
    <n v="0"/>
    <n v="0"/>
    <n v="0"/>
    <n v="0"/>
    <n v="0"/>
    <n v="0"/>
    <n v="0"/>
    <n v="0"/>
    <n v="0"/>
    <n v="0"/>
    <n v="0"/>
    <s v="MMR012CMP021"/>
    <x v="3"/>
    <m/>
  </r>
  <r>
    <n v="65.933333333333337"/>
    <x v="5"/>
    <x v="196"/>
    <x v="0"/>
    <s v="UNHCR"/>
    <x v="0"/>
    <x v="4"/>
    <s v="Yun Nyar"/>
    <m/>
    <m/>
    <m/>
    <m/>
    <m/>
    <n v="216"/>
    <m/>
    <n v="216"/>
    <n v="108"/>
    <n v="108"/>
    <n v="108"/>
    <m/>
    <n v="216"/>
    <m/>
    <m/>
    <m/>
    <m/>
    <m/>
    <m/>
    <m/>
    <m/>
    <n v="0"/>
    <n v="0"/>
    <n v="0"/>
    <n v="0"/>
    <n v="0"/>
    <n v="0"/>
    <n v="0"/>
    <n v="0"/>
    <n v="0"/>
    <n v="0"/>
    <n v="0"/>
    <n v="0"/>
    <n v="0"/>
    <n v="0"/>
    <n v="0"/>
    <n v="0"/>
    <s v="MMR012CMP028"/>
    <x v="3"/>
    <m/>
  </r>
  <r>
    <n v="65.933333333333337"/>
    <x v="5"/>
    <x v="196"/>
    <x v="0"/>
    <s v="UNHCR"/>
    <x v="0"/>
    <x v="4"/>
    <s v="Yun Nyar"/>
    <m/>
    <m/>
    <m/>
    <m/>
    <m/>
    <m/>
    <m/>
    <m/>
    <m/>
    <m/>
    <m/>
    <m/>
    <m/>
    <m/>
    <m/>
    <m/>
    <m/>
    <m/>
    <m/>
    <m/>
    <m/>
    <n v="0"/>
    <n v="0"/>
    <n v="0"/>
    <n v="0"/>
    <n v="0"/>
    <n v="0"/>
    <n v="0"/>
    <n v="0"/>
    <n v="0"/>
    <n v="0"/>
    <n v="0"/>
    <n v="0"/>
    <n v="0"/>
    <n v="0"/>
    <n v="0"/>
    <n v="0"/>
    <s v="MMR012CMP028"/>
    <x v="3"/>
    <m/>
  </r>
  <r>
    <n v="66.099999999999994"/>
    <x v="5"/>
    <x v="197"/>
    <x v="23"/>
    <s v="Muslim Aid"/>
    <x v="0"/>
    <x v="0"/>
    <s v="Ohn Taw Gyi 1"/>
    <m/>
    <m/>
    <m/>
    <m/>
    <m/>
    <n v="273"/>
    <n v="273"/>
    <n v="273"/>
    <m/>
    <m/>
    <n v="273"/>
    <m/>
    <n v="273"/>
    <m/>
    <m/>
    <m/>
    <m/>
    <m/>
    <m/>
    <m/>
    <m/>
    <n v="0"/>
    <n v="0"/>
    <n v="0"/>
    <n v="0"/>
    <n v="0"/>
    <n v="0"/>
    <n v="0"/>
    <n v="0"/>
    <n v="0"/>
    <n v="0"/>
    <n v="0"/>
    <n v="0"/>
    <n v="0"/>
    <n v="0"/>
    <n v="0"/>
    <n v="0"/>
    <s v="MMR012CMP043"/>
    <x v="4"/>
    <m/>
  </r>
  <r>
    <n v="66.099999999999994"/>
    <x v="5"/>
    <x v="197"/>
    <x v="23"/>
    <s v="Muslim Aid"/>
    <x v="0"/>
    <x v="0"/>
    <s v="Set Yone Su"/>
    <m/>
    <m/>
    <m/>
    <m/>
    <m/>
    <n v="20"/>
    <n v="20"/>
    <n v="20"/>
    <m/>
    <m/>
    <n v="20"/>
    <m/>
    <n v="20"/>
    <m/>
    <m/>
    <m/>
    <m/>
    <m/>
    <m/>
    <m/>
    <m/>
    <n v="0"/>
    <n v="0"/>
    <n v="0"/>
    <n v="0"/>
    <n v="0"/>
    <n v="0"/>
    <n v="0"/>
    <n v="0"/>
    <n v="0"/>
    <n v="0"/>
    <n v="0"/>
    <n v="0"/>
    <n v="0"/>
    <n v="0"/>
    <n v="0"/>
    <n v="0"/>
    <s v="MMR012CMP056"/>
    <x v="2"/>
    <m/>
  </r>
  <r>
    <n v="66.099999999999994"/>
    <x v="5"/>
    <x v="197"/>
    <x v="23"/>
    <s v="Muslim Aid"/>
    <x v="0"/>
    <x v="0"/>
    <s v="Thae Chaung"/>
    <m/>
    <m/>
    <m/>
    <m/>
    <m/>
    <n v="2797"/>
    <n v="2797"/>
    <n v="2797"/>
    <m/>
    <m/>
    <n v="2797"/>
    <m/>
    <n v="2797"/>
    <m/>
    <m/>
    <m/>
    <m/>
    <m/>
    <m/>
    <m/>
    <m/>
    <n v="0"/>
    <n v="0"/>
    <n v="0"/>
    <n v="0"/>
    <n v="0"/>
    <n v="0"/>
    <n v="0"/>
    <n v="0"/>
    <n v="0"/>
    <n v="0"/>
    <n v="0"/>
    <n v="0"/>
    <n v="0"/>
    <n v="0"/>
    <n v="0"/>
    <n v="0"/>
    <s v="MMR012CMP046"/>
    <x v="0"/>
    <m/>
  </r>
  <r>
    <n v="67.033333333333331"/>
    <x v="5"/>
    <x v="198"/>
    <x v="20"/>
    <s v="Save the Children"/>
    <x v="0"/>
    <x v="1"/>
    <s v="Ah Nauk Ywe"/>
    <n v="773"/>
    <m/>
    <m/>
    <m/>
    <m/>
    <m/>
    <m/>
    <m/>
    <m/>
    <m/>
    <m/>
    <m/>
    <m/>
    <m/>
    <m/>
    <m/>
    <m/>
    <m/>
    <m/>
    <m/>
    <m/>
    <n v="0"/>
    <n v="0"/>
    <n v="0"/>
    <n v="0"/>
    <n v="0"/>
    <n v="0"/>
    <n v="0"/>
    <n v="0"/>
    <n v="0"/>
    <n v="0"/>
    <n v="0"/>
    <n v="0"/>
    <n v="0"/>
    <n v="0"/>
    <n v="0"/>
    <n v="0"/>
    <s v="MMR012CMP016"/>
    <x v="0"/>
    <m/>
  </r>
  <r>
    <n v="67.033333333333331"/>
    <x v="5"/>
    <x v="198"/>
    <x v="20"/>
    <s v="Save the Children"/>
    <x v="0"/>
    <x v="0"/>
    <s v="Bu May Ohn Taw"/>
    <n v="502"/>
    <m/>
    <m/>
    <m/>
    <m/>
    <m/>
    <m/>
    <m/>
    <m/>
    <m/>
    <m/>
    <m/>
    <m/>
    <m/>
    <m/>
    <m/>
    <m/>
    <m/>
    <m/>
    <m/>
    <m/>
    <n v="0"/>
    <n v="0"/>
    <n v="0"/>
    <n v="0"/>
    <n v="0"/>
    <n v="0"/>
    <n v="0"/>
    <n v="0"/>
    <n v="0"/>
    <n v="0"/>
    <n v="0"/>
    <n v="0"/>
    <n v="0"/>
    <n v="0"/>
    <n v="0"/>
    <n v="0"/>
    <s v="MMR012CMP051"/>
    <x v="4"/>
    <m/>
  </r>
  <r>
    <n v="67.033333333333331"/>
    <x v="5"/>
    <x v="198"/>
    <x v="20"/>
    <s v="Save the Children"/>
    <x v="0"/>
    <x v="0"/>
    <s v="Hmanzi Junction"/>
    <n v="203"/>
    <m/>
    <m/>
    <m/>
    <m/>
    <m/>
    <m/>
    <m/>
    <m/>
    <m/>
    <m/>
    <m/>
    <m/>
    <m/>
    <m/>
    <m/>
    <m/>
    <m/>
    <m/>
    <m/>
    <m/>
    <n v="0"/>
    <n v="0"/>
    <n v="0"/>
    <n v="0"/>
    <n v="0"/>
    <n v="0"/>
    <n v="0"/>
    <n v="0"/>
    <n v="0"/>
    <n v="0"/>
    <n v="0"/>
    <n v="0"/>
    <n v="0"/>
    <n v="0"/>
    <n v="0"/>
    <n v="0"/>
    <s v="MMR012CMP049"/>
    <x v="4"/>
    <m/>
  </r>
  <r>
    <n v="67.033333333333331"/>
    <x v="5"/>
    <x v="198"/>
    <x v="20"/>
    <s v="Save the Children"/>
    <x v="0"/>
    <x v="1"/>
    <s v="Nget Chaung"/>
    <n v="173"/>
    <m/>
    <m/>
    <m/>
    <m/>
    <m/>
    <m/>
    <m/>
    <m/>
    <m/>
    <m/>
    <m/>
    <m/>
    <m/>
    <m/>
    <m/>
    <m/>
    <m/>
    <m/>
    <m/>
    <m/>
    <n v="0"/>
    <n v="0"/>
    <n v="0"/>
    <n v="0"/>
    <n v="0"/>
    <n v="0"/>
    <n v="0"/>
    <n v="0"/>
    <n v="0"/>
    <n v="0"/>
    <n v="0"/>
    <n v="0"/>
    <n v="0"/>
    <n v="0"/>
    <n v="0"/>
    <n v="0"/>
    <s v=""/>
    <x v="1"/>
    <m/>
  </r>
  <r>
    <n v="67.033333333333331"/>
    <x v="5"/>
    <x v="198"/>
    <x v="0"/>
    <m/>
    <x v="0"/>
    <x v="7"/>
    <s v="Raw Ma Ni Sin Oe"/>
    <n v="0"/>
    <m/>
    <m/>
    <m/>
    <m/>
    <n v="82"/>
    <m/>
    <n v="82"/>
    <n v="41"/>
    <n v="41"/>
    <n v="10"/>
    <m/>
    <n v="20"/>
    <m/>
    <m/>
    <m/>
    <m/>
    <m/>
    <m/>
    <m/>
    <m/>
    <n v="0"/>
    <n v="0"/>
    <n v="0"/>
    <n v="0"/>
    <n v="0"/>
    <n v="0"/>
    <n v="0"/>
    <n v="0"/>
    <n v="0"/>
    <n v="0"/>
    <n v="0"/>
    <n v="0"/>
    <n v="0"/>
    <n v="0"/>
    <n v="0"/>
    <n v="0"/>
    <s v="MMR012CMP012"/>
    <x v="2"/>
    <m/>
  </r>
  <r>
    <n v="67.033333333333331"/>
    <x v="5"/>
    <x v="198"/>
    <x v="0"/>
    <s v="Solidarities International"/>
    <x v="0"/>
    <x v="0"/>
    <m/>
    <m/>
    <m/>
    <m/>
    <m/>
    <m/>
    <m/>
    <n v="1520"/>
    <m/>
    <m/>
    <m/>
    <m/>
    <m/>
    <m/>
    <m/>
    <m/>
    <m/>
    <m/>
    <m/>
    <m/>
    <m/>
    <m/>
    <n v="0"/>
    <n v="0"/>
    <n v="0"/>
    <n v="0"/>
    <n v="0"/>
    <n v="0"/>
    <n v="0"/>
    <n v="0"/>
    <n v="0"/>
    <n v="0"/>
    <n v="0"/>
    <n v="0"/>
    <n v="0"/>
    <n v="0"/>
    <n v="0"/>
    <n v="0"/>
    <s v=""/>
    <x v="1"/>
    <m/>
  </r>
  <r>
    <n v="67.066666666666663"/>
    <x v="5"/>
    <x v="199"/>
    <x v="0"/>
    <m/>
    <x v="0"/>
    <x v="0"/>
    <s v="Bu May Ohn Taw"/>
    <m/>
    <m/>
    <m/>
    <m/>
    <m/>
    <m/>
    <n v="1315"/>
    <m/>
    <m/>
    <m/>
    <m/>
    <m/>
    <m/>
    <m/>
    <m/>
    <m/>
    <m/>
    <m/>
    <m/>
    <m/>
    <m/>
    <n v="0"/>
    <n v="0"/>
    <n v="0"/>
    <n v="0"/>
    <n v="0"/>
    <n v="0"/>
    <n v="0"/>
    <n v="0"/>
    <n v="0"/>
    <n v="0"/>
    <n v="0"/>
    <n v="0"/>
    <n v="0"/>
    <n v="0"/>
    <n v="0"/>
    <n v="0"/>
    <s v="MMR012CMP051"/>
    <x v="4"/>
    <m/>
  </r>
  <r>
    <n v="67.066666666666663"/>
    <x v="5"/>
    <x v="199"/>
    <x v="0"/>
    <s v="UNHCR"/>
    <x v="0"/>
    <x v="0"/>
    <s v="Mingan"/>
    <m/>
    <m/>
    <m/>
    <m/>
    <m/>
    <m/>
    <n v="358"/>
    <m/>
    <m/>
    <m/>
    <m/>
    <m/>
    <m/>
    <m/>
    <m/>
    <m/>
    <m/>
    <m/>
    <m/>
    <m/>
    <m/>
    <n v="0"/>
    <n v="0"/>
    <n v="0"/>
    <n v="0"/>
    <n v="0"/>
    <n v="0"/>
    <n v="0"/>
    <n v="0"/>
    <n v="0"/>
    <n v="0"/>
    <n v="0"/>
    <n v="0"/>
    <n v="0"/>
    <n v="0"/>
    <n v="0"/>
    <n v="0"/>
    <s v="MMR012CMP093"/>
    <x v="2"/>
    <m/>
  </r>
  <r>
    <n v="67.099999999999994"/>
    <x v="5"/>
    <x v="200"/>
    <x v="0"/>
    <s v="UNHCR"/>
    <x v="0"/>
    <x v="0"/>
    <s v="Hmanzi Junction"/>
    <m/>
    <m/>
    <m/>
    <m/>
    <m/>
    <m/>
    <n v="246"/>
    <m/>
    <m/>
    <m/>
    <m/>
    <m/>
    <m/>
    <m/>
    <m/>
    <m/>
    <m/>
    <m/>
    <m/>
    <m/>
    <m/>
    <n v="0"/>
    <n v="0"/>
    <n v="0"/>
    <n v="0"/>
    <n v="0"/>
    <n v="0"/>
    <n v="0"/>
    <n v="0"/>
    <n v="0"/>
    <n v="0"/>
    <n v="0"/>
    <n v="0"/>
    <n v="0"/>
    <n v="0"/>
    <n v="0"/>
    <n v="0"/>
    <s v="MMR012CMP049"/>
    <x v="4"/>
    <m/>
  </r>
  <r>
    <n v="67.099999999999994"/>
    <x v="5"/>
    <x v="200"/>
    <x v="0"/>
    <m/>
    <x v="0"/>
    <x v="0"/>
    <s v="Khaung Doke Khar "/>
    <m/>
    <m/>
    <m/>
    <m/>
    <m/>
    <m/>
    <n v="86"/>
    <m/>
    <m/>
    <m/>
    <m/>
    <m/>
    <m/>
    <m/>
    <m/>
    <m/>
    <m/>
    <m/>
    <m/>
    <m/>
    <m/>
    <n v="0"/>
    <n v="0"/>
    <n v="0"/>
    <n v="0"/>
    <n v="0"/>
    <n v="0"/>
    <n v="0"/>
    <n v="0"/>
    <n v="0"/>
    <n v="0"/>
    <n v="0"/>
    <n v="0"/>
    <n v="0"/>
    <n v="0"/>
    <n v="0"/>
    <n v="0"/>
    <s v=""/>
    <x v="1"/>
    <m/>
  </r>
  <r>
    <n v="67.233333333333334"/>
    <x v="5"/>
    <x v="201"/>
    <x v="20"/>
    <s v="Save the Children"/>
    <x v="0"/>
    <x v="0"/>
    <s v="Thet Kae Pyin "/>
    <n v="4795"/>
    <m/>
    <m/>
    <m/>
    <m/>
    <m/>
    <m/>
    <m/>
    <m/>
    <m/>
    <m/>
    <m/>
    <m/>
    <m/>
    <m/>
    <m/>
    <m/>
    <m/>
    <m/>
    <m/>
    <m/>
    <n v="0"/>
    <n v="0"/>
    <n v="0"/>
    <n v="0"/>
    <n v="0"/>
    <n v="0"/>
    <n v="0"/>
    <n v="0"/>
    <n v="0"/>
    <n v="0"/>
    <n v="0"/>
    <n v="0"/>
    <n v="0"/>
    <n v="0"/>
    <n v="0"/>
    <n v="0"/>
    <s v="MMR012CMP048"/>
    <x v="0"/>
    <m/>
  </r>
  <r>
    <n v="67.266666666666666"/>
    <x v="5"/>
    <x v="202"/>
    <x v="20"/>
    <s v="Save the Children"/>
    <x v="0"/>
    <x v="1"/>
    <s v="Kyein Ni Pyin"/>
    <n v="903"/>
    <m/>
    <m/>
    <m/>
    <m/>
    <m/>
    <m/>
    <m/>
    <m/>
    <m/>
    <m/>
    <m/>
    <m/>
    <m/>
    <m/>
    <m/>
    <m/>
    <m/>
    <m/>
    <m/>
    <m/>
    <n v="0"/>
    <n v="0"/>
    <n v="0"/>
    <n v="0"/>
    <n v="0"/>
    <n v="0"/>
    <n v="0"/>
    <n v="0"/>
    <n v="0"/>
    <n v="0"/>
    <n v="0"/>
    <n v="0"/>
    <n v="0"/>
    <n v="0"/>
    <n v="0"/>
    <n v="0"/>
    <s v="MMR012CMP018"/>
    <x v="0"/>
    <m/>
  </r>
  <r>
    <n v="68"/>
    <x v="5"/>
    <x v="203"/>
    <x v="0"/>
    <m/>
    <x v="0"/>
    <x v="1"/>
    <m/>
    <m/>
    <m/>
    <m/>
    <m/>
    <m/>
    <m/>
    <m/>
    <n v="1"/>
    <m/>
    <m/>
    <m/>
    <m/>
    <m/>
    <m/>
    <m/>
    <m/>
    <m/>
    <m/>
    <m/>
    <m/>
    <m/>
    <n v="0"/>
    <n v="0"/>
    <n v="0"/>
    <n v="0"/>
    <n v="0"/>
    <n v="0"/>
    <n v="0"/>
    <n v="0"/>
    <n v="0"/>
    <n v="0"/>
    <n v="0"/>
    <n v="0"/>
    <n v="0"/>
    <n v="0"/>
    <n v="0"/>
    <n v="0"/>
    <s v=""/>
    <x v="1"/>
    <m/>
  </r>
  <r>
    <n v="68.033333333333331"/>
    <x v="5"/>
    <x v="204"/>
    <x v="0"/>
    <m/>
    <x v="0"/>
    <x v="3"/>
    <s v="Nyaung Pin Gyi"/>
    <n v="0"/>
    <m/>
    <m/>
    <n v="64"/>
    <m/>
    <n v="128"/>
    <n v="64"/>
    <n v="128"/>
    <n v="64"/>
    <n v="64"/>
    <n v="64"/>
    <m/>
    <n v="128"/>
    <m/>
    <m/>
    <m/>
    <m/>
    <m/>
    <m/>
    <m/>
    <m/>
    <n v="0"/>
    <n v="0"/>
    <n v="0"/>
    <n v="0"/>
    <n v="0"/>
    <n v="0"/>
    <n v="0"/>
    <n v="0"/>
    <n v="0"/>
    <n v="0"/>
    <n v="0"/>
    <n v="0"/>
    <n v="0"/>
    <n v="0"/>
    <n v="0"/>
    <n v="0"/>
    <s v="MMR012CMP031"/>
    <x v="3"/>
    <m/>
  </r>
  <r>
    <n v="68.033333333333331"/>
    <x v="5"/>
    <x v="204"/>
    <x v="0"/>
    <m/>
    <x v="0"/>
    <x v="3"/>
    <s v="Nyaung Pin Gyi"/>
    <n v="0"/>
    <m/>
    <m/>
    <m/>
    <n v="128"/>
    <n v="128"/>
    <n v="64"/>
    <n v="0"/>
    <m/>
    <m/>
    <m/>
    <m/>
    <m/>
    <m/>
    <m/>
    <m/>
    <m/>
    <m/>
    <m/>
    <m/>
    <m/>
    <n v="0"/>
    <n v="0"/>
    <n v="0"/>
    <n v="0"/>
    <n v="0"/>
    <n v="0"/>
    <n v="0"/>
    <n v="0"/>
    <n v="0"/>
    <n v="0"/>
    <n v="0"/>
    <n v="0"/>
    <n v="0"/>
    <n v="0"/>
    <n v="0"/>
    <n v="0"/>
    <s v="MMR012CMP031"/>
    <x v="3"/>
    <m/>
  </r>
  <r>
    <n v="68.13333333333334"/>
    <x v="5"/>
    <x v="205"/>
    <x v="20"/>
    <s v="Save the Children"/>
    <x v="0"/>
    <x v="1"/>
    <s v="Kyein Ni Pyin"/>
    <n v="1028"/>
    <m/>
    <m/>
    <m/>
    <m/>
    <m/>
    <m/>
    <m/>
    <m/>
    <m/>
    <m/>
    <m/>
    <m/>
    <m/>
    <m/>
    <m/>
    <m/>
    <m/>
    <m/>
    <m/>
    <m/>
    <n v="0"/>
    <n v="0"/>
    <n v="0"/>
    <n v="0"/>
    <n v="0"/>
    <n v="0"/>
    <n v="0"/>
    <n v="0"/>
    <n v="0"/>
    <n v="0"/>
    <n v="0"/>
    <n v="0"/>
    <n v="0"/>
    <n v="0"/>
    <n v="0"/>
    <n v="0"/>
    <s v="MMR012CMP018"/>
    <x v="0"/>
    <m/>
  </r>
  <r>
    <n v="68.2"/>
    <x v="5"/>
    <x v="206"/>
    <x v="20"/>
    <s v="Save the Children"/>
    <x v="0"/>
    <x v="1"/>
    <s v="Nget Chaung"/>
    <n v="1338"/>
    <m/>
    <m/>
    <m/>
    <m/>
    <m/>
    <m/>
    <m/>
    <m/>
    <m/>
    <m/>
    <m/>
    <m/>
    <m/>
    <m/>
    <m/>
    <m/>
    <m/>
    <m/>
    <m/>
    <m/>
    <n v="0"/>
    <n v="0"/>
    <n v="0"/>
    <n v="0"/>
    <n v="0"/>
    <n v="0"/>
    <n v="0"/>
    <n v="0"/>
    <n v="0"/>
    <n v="0"/>
    <n v="0"/>
    <n v="0"/>
    <n v="0"/>
    <n v="0"/>
    <n v="0"/>
    <n v="0"/>
    <s v=""/>
    <x v="1"/>
    <m/>
  </r>
  <r>
    <n v="68.599999999999994"/>
    <x v="5"/>
    <x v="207"/>
    <x v="0"/>
    <m/>
    <x v="0"/>
    <x v="0"/>
    <s v="Bu May Ohn Taw"/>
    <m/>
    <m/>
    <m/>
    <m/>
    <m/>
    <m/>
    <m/>
    <n v="54"/>
    <m/>
    <m/>
    <m/>
    <m/>
    <m/>
    <m/>
    <m/>
    <m/>
    <m/>
    <m/>
    <m/>
    <m/>
    <m/>
    <n v="0"/>
    <n v="0"/>
    <n v="0"/>
    <n v="0"/>
    <n v="0"/>
    <n v="0"/>
    <n v="0"/>
    <n v="0"/>
    <n v="0"/>
    <n v="0"/>
    <n v="0"/>
    <n v="0"/>
    <n v="0"/>
    <n v="0"/>
    <n v="0"/>
    <n v="0"/>
    <s v="MMR012CMP051"/>
    <x v="4"/>
    <m/>
  </r>
  <r>
    <n v="68.666666666666671"/>
    <x v="5"/>
    <x v="208"/>
    <x v="0"/>
    <m/>
    <x v="0"/>
    <x v="0"/>
    <s v="Bu May Ohn Taw"/>
    <m/>
    <m/>
    <m/>
    <m/>
    <m/>
    <m/>
    <m/>
    <n v="90"/>
    <m/>
    <m/>
    <m/>
    <m/>
    <m/>
    <m/>
    <m/>
    <m/>
    <m/>
    <m/>
    <m/>
    <m/>
    <m/>
    <n v="0"/>
    <n v="0"/>
    <n v="0"/>
    <n v="0"/>
    <n v="0"/>
    <n v="0"/>
    <n v="0"/>
    <n v="0"/>
    <n v="0"/>
    <n v="0"/>
    <n v="0"/>
    <n v="0"/>
    <n v="0"/>
    <n v="0"/>
    <n v="0"/>
    <n v="0"/>
    <s v="MMR012CMP051"/>
    <x v="4"/>
    <m/>
  </r>
  <r>
    <n v="68.7"/>
    <x v="5"/>
    <x v="209"/>
    <x v="0"/>
    <m/>
    <x v="0"/>
    <x v="0"/>
    <s v="Bu May Ohn Taw"/>
    <m/>
    <m/>
    <m/>
    <m/>
    <m/>
    <m/>
    <m/>
    <n v="90"/>
    <m/>
    <m/>
    <m/>
    <m/>
    <m/>
    <m/>
    <m/>
    <m/>
    <m/>
    <m/>
    <m/>
    <m/>
    <m/>
    <n v="0"/>
    <n v="0"/>
    <n v="0"/>
    <n v="0"/>
    <n v="0"/>
    <n v="0"/>
    <n v="0"/>
    <n v="0"/>
    <n v="0"/>
    <n v="0"/>
    <n v="0"/>
    <n v="0"/>
    <n v="0"/>
    <n v="0"/>
    <n v="0"/>
    <n v="0"/>
    <s v="MMR012CMP051"/>
    <x v="4"/>
    <m/>
  </r>
  <r>
    <n v="68.7"/>
    <x v="5"/>
    <x v="209"/>
    <x v="5"/>
    <s v="Solidarities International"/>
    <x v="0"/>
    <x v="0"/>
    <s v="Dar Pai"/>
    <n v="186"/>
    <m/>
    <m/>
    <m/>
    <m/>
    <m/>
    <m/>
    <m/>
    <m/>
    <m/>
    <m/>
    <m/>
    <m/>
    <m/>
    <m/>
    <m/>
    <m/>
    <m/>
    <m/>
    <m/>
    <m/>
    <n v="0"/>
    <n v="0"/>
    <n v="0"/>
    <n v="0"/>
    <n v="0"/>
    <n v="0"/>
    <n v="0"/>
    <n v="0"/>
    <n v="0"/>
    <n v="0"/>
    <n v="0"/>
    <n v="0"/>
    <n v="0"/>
    <n v="0"/>
    <n v="0"/>
    <n v="0"/>
    <s v="MMR012CMP041"/>
    <x v="0"/>
    <m/>
  </r>
  <r>
    <n v="68.833333333333329"/>
    <x v="5"/>
    <x v="210"/>
    <x v="0"/>
    <m/>
    <x v="0"/>
    <x v="0"/>
    <s v="Bu May Ohn Taw"/>
    <m/>
    <m/>
    <m/>
    <m/>
    <m/>
    <m/>
    <m/>
    <n v="90"/>
    <m/>
    <m/>
    <m/>
    <m/>
    <m/>
    <m/>
    <m/>
    <m/>
    <m/>
    <m/>
    <m/>
    <m/>
    <m/>
    <n v="0"/>
    <n v="0"/>
    <n v="0"/>
    <n v="0"/>
    <n v="0"/>
    <n v="0"/>
    <n v="0"/>
    <n v="0"/>
    <n v="0"/>
    <n v="0"/>
    <n v="0"/>
    <n v="0"/>
    <n v="0"/>
    <n v="0"/>
    <n v="0"/>
    <n v="0"/>
    <s v="MMR012CMP051"/>
    <x v="4"/>
    <m/>
  </r>
  <r>
    <n v="68.86666666666666"/>
    <x v="5"/>
    <x v="211"/>
    <x v="0"/>
    <m/>
    <x v="0"/>
    <x v="0"/>
    <s v="Bu May Ohn Taw"/>
    <m/>
    <m/>
    <m/>
    <m/>
    <m/>
    <m/>
    <m/>
    <n v="45"/>
    <m/>
    <m/>
    <m/>
    <m/>
    <m/>
    <m/>
    <m/>
    <m/>
    <m/>
    <m/>
    <m/>
    <m/>
    <m/>
    <n v="0"/>
    <n v="0"/>
    <n v="0"/>
    <n v="0"/>
    <n v="0"/>
    <n v="0"/>
    <n v="0"/>
    <n v="0"/>
    <n v="0"/>
    <n v="0"/>
    <n v="0"/>
    <n v="0"/>
    <n v="0"/>
    <n v="0"/>
    <n v="0"/>
    <n v="0"/>
    <s v="MMR012CMP051"/>
    <x v="4"/>
    <m/>
  </r>
  <r>
    <n v="68.900000000000006"/>
    <x v="5"/>
    <x v="212"/>
    <x v="0"/>
    <m/>
    <x v="0"/>
    <x v="0"/>
    <s v="Bu May Ohn Taw"/>
    <m/>
    <m/>
    <m/>
    <m/>
    <m/>
    <m/>
    <m/>
    <n v="45"/>
    <m/>
    <m/>
    <m/>
    <m/>
    <m/>
    <m/>
    <m/>
    <m/>
    <m/>
    <m/>
    <m/>
    <m/>
    <m/>
    <n v="0"/>
    <n v="0"/>
    <n v="0"/>
    <n v="0"/>
    <n v="0"/>
    <n v="0"/>
    <n v="0"/>
    <n v="0"/>
    <n v="0"/>
    <n v="0"/>
    <n v="0"/>
    <n v="0"/>
    <n v="0"/>
    <n v="0"/>
    <n v="0"/>
    <n v="0"/>
    <s v="MMR012CMP051"/>
    <x v="4"/>
    <m/>
  </r>
  <r>
    <n v="68.933333333333337"/>
    <x v="5"/>
    <x v="213"/>
    <x v="20"/>
    <s v="Save the Children"/>
    <x v="0"/>
    <x v="0"/>
    <s v="Thet Kae Pyin "/>
    <n v="3100"/>
    <m/>
    <m/>
    <m/>
    <m/>
    <m/>
    <m/>
    <m/>
    <m/>
    <m/>
    <m/>
    <m/>
    <m/>
    <m/>
    <m/>
    <m/>
    <m/>
    <m/>
    <m/>
    <m/>
    <m/>
    <n v="0"/>
    <n v="0"/>
    <n v="0"/>
    <n v="0"/>
    <n v="0"/>
    <n v="0"/>
    <n v="0"/>
    <n v="0"/>
    <n v="0"/>
    <n v="0"/>
    <n v="0"/>
    <n v="0"/>
    <n v="0"/>
    <n v="0"/>
    <n v="0"/>
    <n v="0"/>
    <s v="MMR012CMP048"/>
    <x v="0"/>
    <m/>
  </r>
  <r>
    <n v="69.566666666666663"/>
    <x v="5"/>
    <x v="214"/>
    <x v="0"/>
    <m/>
    <x v="0"/>
    <x v="3"/>
    <s v="Ah Nauk Pyin"/>
    <n v="0"/>
    <m/>
    <m/>
    <n v="68"/>
    <m/>
    <n v="136"/>
    <n v="68"/>
    <n v="136"/>
    <n v="68"/>
    <n v="68"/>
    <n v="68"/>
    <m/>
    <n v="136"/>
    <m/>
    <m/>
    <m/>
    <m/>
    <m/>
    <m/>
    <m/>
    <m/>
    <n v="0"/>
    <n v="0"/>
    <n v="0"/>
    <n v="0"/>
    <n v="0"/>
    <n v="0"/>
    <n v="0"/>
    <n v="0"/>
    <n v="0"/>
    <n v="0"/>
    <n v="0"/>
    <n v="0"/>
    <n v="0"/>
    <n v="0"/>
    <n v="0"/>
    <n v="0"/>
    <s v="MMR012CMP032"/>
    <x v="3"/>
    <m/>
  </r>
  <r>
    <n v="69.566666666666663"/>
    <x v="5"/>
    <x v="214"/>
    <x v="0"/>
    <m/>
    <x v="0"/>
    <x v="3"/>
    <s v="Ah Nauk Pyin"/>
    <n v="0"/>
    <m/>
    <m/>
    <m/>
    <n v="136"/>
    <n v="136"/>
    <n v="68"/>
    <n v="0"/>
    <m/>
    <m/>
    <m/>
    <m/>
    <m/>
    <m/>
    <m/>
    <m/>
    <m/>
    <m/>
    <m/>
    <m/>
    <m/>
    <n v="0"/>
    <n v="0"/>
    <n v="0"/>
    <n v="0"/>
    <n v="0"/>
    <n v="0"/>
    <n v="0"/>
    <n v="0"/>
    <n v="0"/>
    <n v="0"/>
    <n v="0"/>
    <n v="0"/>
    <n v="0"/>
    <n v="0"/>
    <n v="0"/>
    <n v="0"/>
    <s v="MMR012CMP032"/>
    <x v="3"/>
    <m/>
  </r>
  <r>
    <n v="69.566666666666663"/>
    <x v="5"/>
    <x v="214"/>
    <x v="0"/>
    <m/>
    <x v="0"/>
    <x v="8"/>
    <s v="Bomu Ywa"/>
    <n v="0"/>
    <m/>
    <m/>
    <n v="79"/>
    <m/>
    <n v="158"/>
    <n v="79"/>
    <n v="158"/>
    <n v="79"/>
    <n v="79"/>
    <n v="79"/>
    <m/>
    <n v="158"/>
    <m/>
    <m/>
    <m/>
    <m/>
    <m/>
    <m/>
    <m/>
    <m/>
    <n v="0"/>
    <n v="0"/>
    <n v="0"/>
    <n v="0"/>
    <n v="0"/>
    <n v="0"/>
    <n v="0"/>
    <n v="0"/>
    <n v="0"/>
    <n v="0"/>
    <n v="0"/>
    <n v="0"/>
    <n v="0"/>
    <n v="0"/>
    <n v="0"/>
    <n v="0"/>
    <s v=""/>
    <x v="1"/>
    <m/>
  </r>
  <r>
    <n v="69.566666666666663"/>
    <x v="5"/>
    <x v="214"/>
    <x v="0"/>
    <m/>
    <x v="0"/>
    <x v="8"/>
    <s v="Bomu Ywa"/>
    <n v="0"/>
    <m/>
    <m/>
    <m/>
    <n v="158"/>
    <n v="292"/>
    <n v="79"/>
    <n v="0"/>
    <m/>
    <m/>
    <m/>
    <m/>
    <m/>
    <m/>
    <m/>
    <m/>
    <m/>
    <m/>
    <m/>
    <m/>
    <m/>
    <n v="0"/>
    <n v="0"/>
    <n v="0"/>
    <n v="0"/>
    <n v="0"/>
    <n v="0"/>
    <n v="0"/>
    <n v="0"/>
    <n v="0"/>
    <n v="0"/>
    <n v="0"/>
    <n v="0"/>
    <n v="0"/>
    <n v="0"/>
    <n v="0"/>
    <n v="0"/>
    <s v=""/>
    <x v="1"/>
    <m/>
  </r>
  <r>
    <n v="69.566666666666663"/>
    <x v="5"/>
    <x v="214"/>
    <x v="1"/>
    <s v="DRC"/>
    <x v="0"/>
    <x v="0"/>
    <s v="Say Tha Mar Gyi"/>
    <n v="2907"/>
    <m/>
    <m/>
    <m/>
    <m/>
    <m/>
    <m/>
    <m/>
    <m/>
    <m/>
    <m/>
    <m/>
    <m/>
    <m/>
    <m/>
    <m/>
    <m/>
    <m/>
    <m/>
    <m/>
    <m/>
    <n v="0"/>
    <n v="0"/>
    <n v="0"/>
    <n v="0"/>
    <n v="0"/>
    <n v="0"/>
    <n v="0"/>
    <n v="0"/>
    <n v="0"/>
    <n v="0"/>
    <n v="0"/>
    <n v="0"/>
    <n v="0"/>
    <n v="0"/>
    <n v="0"/>
    <n v="0"/>
    <s v="MMR012CMP045"/>
    <x v="0"/>
    <m/>
  </r>
  <r>
    <n v="69.86666666666666"/>
    <x v="5"/>
    <x v="215"/>
    <x v="0"/>
    <m/>
    <x v="0"/>
    <x v="8"/>
    <s v="Myoma Myauk"/>
    <n v="0"/>
    <m/>
    <m/>
    <n v="0"/>
    <n v="0"/>
    <n v="34"/>
    <n v="0"/>
    <n v="0"/>
    <m/>
    <m/>
    <m/>
    <m/>
    <m/>
    <m/>
    <m/>
    <m/>
    <m/>
    <m/>
    <m/>
    <m/>
    <m/>
    <n v="0"/>
    <n v="0"/>
    <n v="0"/>
    <n v="0"/>
    <n v="0"/>
    <n v="0"/>
    <n v="0"/>
    <n v="0"/>
    <n v="0"/>
    <n v="0"/>
    <n v="0"/>
    <n v="0"/>
    <n v="0"/>
    <n v="0"/>
    <n v="0"/>
    <n v="0"/>
    <s v=""/>
    <x v="1"/>
    <m/>
  </r>
  <r>
    <n v="69.933333333333337"/>
    <x v="5"/>
    <x v="216"/>
    <x v="0"/>
    <m/>
    <x v="0"/>
    <x v="6"/>
    <s v="Thay Kan"/>
    <m/>
    <m/>
    <m/>
    <m/>
    <m/>
    <m/>
    <m/>
    <n v="33"/>
    <m/>
    <m/>
    <m/>
    <m/>
    <m/>
    <m/>
    <m/>
    <m/>
    <m/>
    <m/>
    <m/>
    <m/>
    <m/>
    <n v="0"/>
    <n v="0"/>
    <n v="0"/>
    <n v="0"/>
    <n v="0"/>
    <n v="0"/>
    <n v="0"/>
    <n v="0"/>
    <n v="0"/>
    <n v="0"/>
    <n v="0"/>
    <n v="0"/>
    <n v="0"/>
    <n v="0"/>
    <n v="0"/>
    <n v="0"/>
    <s v="MMR012CMP007"/>
    <x v="4"/>
    <m/>
  </r>
  <r>
    <n v="70"/>
    <x v="5"/>
    <x v="217"/>
    <x v="0"/>
    <m/>
    <x v="0"/>
    <x v="8"/>
    <s v="Thaung Paing Nyar"/>
    <n v="0"/>
    <m/>
    <m/>
    <n v="51"/>
    <m/>
    <n v="102"/>
    <n v="51"/>
    <n v="102"/>
    <n v="51"/>
    <n v="51"/>
    <n v="51"/>
    <m/>
    <n v="102"/>
    <m/>
    <m/>
    <m/>
    <m/>
    <m/>
    <m/>
    <m/>
    <m/>
    <n v="0"/>
    <n v="0"/>
    <n v="0"/>
    <n v="0"/>
    <n v="0"/>
    <n v="0"/>
    <n v="0"/>
    <n v="0"/>
    <n v="0"/>
    <n v="0"/>
    <n v="0"/>
    <n v="0"/>
    <n v="0"/>
    <n v="0"/>
    <n v="0"/>
    <n v="0"/>
    <s v=""/>
    <x v="1"/>
    <m/>
  </r>
  <r>
    <n v="70"/>
    <x v="5"/>
    <x v="217"/>
    <x v="0"/>
    <m/>
    <x v="0"/>
    <x v="8"/>
    <s v="Thaung Paing Nyar"/>
    <n v="0"/>
    <m/>
    <m/>
    <m/>
    <n v="102"/>
    <n v="156"/>
    <n v="51"/>
    <n v="0"/>
    <m/>
    <m/>
    <m/>
    <m/>
    <m/>
    <m/>
    <m/>
    <m/>
    <m/>
    <m/>
    <m/>
    <m/>
    <m/>
    <n v="0"/>
    <n v="0"/>
    <n v="0"/>
    <n v="0"/>
    <n v="0"/>
    <n v="0"/>
    <n v="0"/>
    <n v="0"/>
    <n v="0"/>
    <n v="0"/>
    <n v="0"/>
    <n v="0"/>
    <n v="0"/>
    <n v="0"/>
    <n v="0"/>
    <n v="0"/>
    <s v=""/>
    <x v="1"/>
    <m/>
  </r>
  <r>
    <n v="70.066666666666663"/>
    <x v="5"/>
    <x v="218"/>
    <x v="0"/>
    <m/>
    <x v="0"/>
    <x v="8"/>
    <s v="Bomu Ywa"/>
    <n v="0"/>
    <m/>
    <m/>
    <n v="50"/>
    <m/>
    <n v="100"/>
    <n v="50"/>
    <n v="100"/>
    <n v="50"/>
    <n v="50"/>
    <n v="50"/>
    <m/>
    <n v="100"/>
    <m/>
    <m/>
    <m/>
    <m/>
    <m/>
    <m/>
    <m/>
    <m/>
    <n v="0"/>
    <n v="0"/>
    <n v="0"/>
    <n v="0"/>
    <n v="0"/>
    <n v="0"/>
    <n v="0"/>
    <n v="0"/>
    <n v="0"/>
    <n v="0"/>
    <n v="0"/>
    <n v="0"/>
    <n v="0"/>
    <n v="0"/>
    <n v="0"/>
    <n v="0"/>
    <s v=""/>
    <x v="1"/>
    <m/>
  </r>
  <r>
    <n v="70.066666666666663"/>
    <x v="5"/>
    <x v="218"/>
    <x v="0"/>
    <m/>
    <x v="0"/>
    <x v="8"/>
    <s v="Bomu Ywa"/>
    <n v="0"/>
    <m/>
    <m/>
    <m/>
    <n v="100"/>
    <n v="171"/>
    <n v="50"/>
    <n v="0"/>
    <m/>
    <m/>
    <m/>
    <m/>
    <m/>
    <m/>
    <m/>
    <m/>
    <m/>
    <m/>
    <m/>
    <m/>
    <m/>
    <n v="0"/>
    <n v="0"/>
    <n v="0"/>
    <n v="0"/>
    <n v="0"/>
    <n v="0"/>
    <n v="0"/>
    <n v="0"/>
    <n v="0"/>
    <n v="0"/>
    <n v="0"/>
    <n v="0"/>
    <n v="0"/>
    <n v="0"/>
    <n v="0"/>
    <n v="0"/>
    <s v=""/>
    <x v="1"/>
    <m/>
  </r>
  <r>
    <n v="70.066666666666663"/>
    <x v="5"/>
    <x v="218"/>
    <x v="23"/>
    <m/>
    <x v="0"/>
    <x v="0"/>
    <s v="Ohn Taw Gyi 1"/>
    <n v="0"/>
    <m/>
    <m/>
    <n v="800"/>
    <m/>
    <n v="1600"/>
    <n v="800"/>
    <n v="1600"/>
    <n v="800"/>
    <n v="800"/>
    <n v="800"/>
    <m/>
    <n v="1600"/>
    <m/>
    <m/>
    <m/>
    <m/>
    <m/>
    <m/>
    <m/>
    <m/>
    <n v="0"/>
    <n v="0"/>
    <n v="0"/>
    <n v="0"/>
    <n v="0"/>
    <n v="0"/>
    <n v="0"/>
    <n v="0"/>
    <n v="0"/>
    <n v="0"/>
    <n v="0"/>
    <n v="0"/>
    <n v="0"/>
    <n v="0"/>
    <n v="0"/>
    <n v="0"/>
    <s v="MMR012CMP043"/>
    <x v="4"/>
    <m/>
  </r>
  <r>
    <n v="70.066666666666663"/>
    <x v="5"/>
    <x v="218"/>
    <x v="23"/>
    <m/>
    <x v="0"/>
    <x v="0"/>
    <s v="Ohn Taw Gyi 1"/>
    <n v="0"/>
    <m/>
    <m/>
    <m/>
    <m/>
    <m/>
    <m/>
    <m/>
    <m/>
    <m/>
    <m/>
    <m/>
    <m/>
    <m/>
    <m/>
    <m/>
    <m/>
    <m/>
    <m/>
    <m/>
    <m/>
    <n v="0"/>
    <n v="0"/>
    <n v="0"/>
    <n v="0"/>
    <n v="0"/>
    <n v="0"/>
    <n v="0"/>
    <n v="0"/>
    <n v="0"/>
    <n v="0"/>
    <n v="0"/>
    <n v="0"/>
    <n v="0"/>
    <n v="0"/>
    <n v="0"/>
    <n v="0"/>
    <s v="MMR012CMP043"/>
    <x v="4"/>
    <m/>
  </r>
  <r>
    <n v="70.066666666666663"/>
    <x v="5"/>
    <x v="218"/>
    <x v="23"/>
    <m/>
    <x v="0"/>
    <x v="0"/>
    <s v="Set Yone Su"/>
    <n v="0"/>
    <m/>
    <m/>
    <n v="200"/>
    <m/>
    <n v="400"/>
    <n v="200"/>
    <n v="400"/>
    <n v="200"/>
    <n v="200"/>
    <n v="200"/>
    <m/>
    <n v="400"/>
    <m/>
    <m/>
    <m/>
    <m/>
    <m/>
    <m/>
    <m/>
    <m/>
    <n v="0"/>
    <n v="0"/>
    <n v="0"/>
    <n v="0"/>
    <n v="0"/>
    <n v="0"/>
    <n v="0"/>
    <n v="0"/>
    <n v="0"/>
    <n v="0"/>
    <n v="0"/>
    <n v="0"/>
    <n v="0"/>
    <n v="0"/>
    <n v="0"/>
    <n v="0"/>
    <s v="MMR012CMP056"/>
    <x v="2"/>
    <m/>
  </r>
  <r>
    <n v="70.066666666666663"/>
    <x v="5"/>
    <x v="218"/>
    <x v="23"/>
    <m/>
    <x v="0"/>
    <x v="0"/>
    <s v="Set Yone Su"/>
    <n v="0"/>
    <m/>
    <m/>
    <m/>
    <m/>
    <m/>
    <m/>
    <m/>
    <m/>
    <m/>
    <m/>
    <m/>
    <m/>
    <m/>
    <m/>
    <m/>
    <m/>
    <m/>
    <m/>
    <m/>
    <m/>
    <n v="0"/>
    <n v="0"/>
    <n v="0"/>
    <n v="0"/>
    <n v="0"/>
    <n v="0"/>
    <n v="0"/>
    <n v="0"/>
    <n v="0"/>
    <n v="0"/>
    <n v="0"/>
    <n v="0"/>
    <n v="0"/>
    <n v="0"/>
    <n v="0"/>
    <n v="0"/>
    <s v="MMR012CMP056"/>
    <x v="2"/>
    <m/>
  </r>
  <r>
    <n v="70.233333333333334"/>
    <x v="5"/>
    <x v="219"/>
    <x v="9"/>
    <m/>
    <x v="0"/>
    <x v="1"/>
    <s v="Ba Wan Chaung Wa Su"/>
    <n v="23"/>
    <m/>
    <m/>
    <n v="0"/>
    <m/>
    <m/>
    <m/>
    <m/>
    <m/>
    <m/>
    <m/>
    <m/>
    <m/>
    <m/>
    <m/>
    <m/>
    <m/>
    <m/>
    <m/>
    <m/>
    <m/>
    <n v="0"/>
    <n v="0"/>
    <n v="0"/>
    <n v="0"/>
    <n v="0"/>
    <n v="0"/>
    <n v="0"/>
    <n v="0"/>
    <n v="0"/>
    <n v="0"/>
    <n v="0"/>
    <n v="0"/>
    <n v="0"/>
    <n v="0"/>
    <n v="0"/>
    <n v="0"/>
    <s v="MMR012CMP015"/>
    <x v="2"/>
    <m/>
  </r>
  <r>
    <n v="70.233333333333334"/>
    <x v="5"/>
    <x v="219"/>
    <x v="9"/>
    <m/>
    <x v="0"/>
    <x v="1"/>
    <s v="Nget Chaung"/>
    <n v="1306"/>
    <m/>
    <m/>
    <n v="0"/>
    <m/>
    <m/>
    <m/>
    <m/>
    <m/>
    <m/>
    <m/>
    <m/>
    <m/>
    <m/>
    <m/>
    <m/>
    <m/>
    <m/>
    <m/>
    <m/>
    <m/>
    <n v="0"/>
    <n v="0"/>
    <n v="0"/>
    <n v="0"/>
    <n v="0"/>
    <n v="0"/>
    <n v="0"/>
    <n v="0"/>
    <n v="0"/>
    <n v="0"/>
    <n v="0"/>
    <n v="0"/>
    <n v="0"/>
    <n v="0"/>
    <n v="0"/>
    <n v="0"/>
    <s v=""/>
    <x v="1"/>
    <m/>
  </r>
  <r>
    <n v="70.233333333333334"/>
    <x v="5"/>
    <x v="219"/>
    <x v="0"/>
    <m/>
    <x v="0"/>
    <x v="8"/>
    <s v="Nyaung Pin Hla"/>
    <n v="0"/>
    <m/>
    <m/>
    <n v="15"/>
    <m/>
    <n v="30"/>
    <n v="15"/>
    <n v="30"/>
    <n v="15"/>
    <n v="15"/>
    <n v="15"/>
    <m/>
    <n v="30"/>
    <m/>
    <m/>
    <m/>
    <m/>
    <m/>
    <m/>
    <m/>
    <m/>
    <n v="0"/>
    <n v="0"/>
    <n v="0"/>
    <n v="0"/>
    <n v="0"/>
    <n v="0"/>
    <n v="0"/>
    <n v="0"/>
    <n v="0"/>
    <n v="0"/>
    <n v="0"/>
    <n v="0"/>
    <n v="0"/>
    <n v="0"/>
    <n v="0"/>
    <n v="0"/>
    <s v="MMR012CMP082"/>
    <x v="3"/>
    <m/>
  </r>
  <r>
    <n v="70.233333333333334"/>
    <x v="5"/>
    <x v="219"/>
    <x v="0"/>
    <m/>
    <x v="0"/>
    <x v="8"/>
    <s v="Nyaung Pin Hla"/>
    <n v="0"/>
    <m/>
    <m/>
    <m/>
    <n v="30"/>
    <n v="52"/>
    <n v="15"/>
    <n v="0"/>
    <m/>
    <m/>
    <m/>
    <m/>
    <m/>
    <m/>
    <m/>
    <m/>
    <m/>
    <m/>
    <m/>
    <m/>
    <m/>
    <n v="0"/>
    <n v="0"/>
    <n v="0"/>
    <n v="0"/>
    <n v="0"/>
    <n v="0"/>
    <n v="0"/>
    <n v="0"/>
    <n v="0"/>
    <n v="0"/>
    <n v="0"/>
    <n v="0"/>
    <n v="0"/>
    <n v="0"/>
    <n v="0"/>
    <n v="0"/>
    <s v="MMR012CMP082"/>
    <x v="3"/>
    <m/>
  </r>
  <r>
    <n v="70.266666666666666"/>
    <x v="5"/>
    <x v="220"/>
    <x v="5"/>
    <s v="Solidarities International"/>
    <x v="0"/>
    <x v="0"/>
    <s v="Thae Chaung"/>
    <n v="1542"/>
    <m/>
    <m/>
    <m/>
    <m/>
    <m/>
    <m/>
    <m/>
    <m/>
    <m/>
    <m/>
    <m/>
    <m/>
    <m/>
    <m/>
    <m/>
    <m/>
    <m/>
    <m/>
    <m/>
    <m/>
    <n v="0"/>
    <n v="0"/>
    <n v="0"/>
    <n v="0"/>
    <n v="0"/>
    <n v="0"/>
    <n v="0"/>
    <n v="0"/>
    <n v="0"/>
    <n v="0"/>
    <n v="0"/>
    <n v="0"/>
    <n v="0"/>
    <n v="0"/>
    <n v="0"/>
    <n v="0"/>
    <s v="MMR012CMP046"/>
    <x v="0"/>
    <m/>
  </r>
  <r>
    <n v="70.466666666666669"/>
    <x v="5"/>
    <x v="221"/>
    <x v="9"/>
    <m/>
    <x v="0"/>
    <x v="6"/>
    <s v="Aung Taing"/>
    <n v="90"/>
    <m/>
    <m/>
    <m/>
    <m/>
    <m/>
    <m/>
    <m/>
    <m/>
    <m/>
    <m/>
    <m/>
    <m/>
    <m/>
    <m/>
    <m/>
    <m/>
    <m/>
    <m/>
    <m/>
    <m/>
    <n v="0"/>
    <n v="0"/>
    <n v="0"/>
    <n v="0"/>
    <n v="0"/>
    <n v="0"/>
    <n v="0"/>
    <n v="0"/>
    <n v="0"/>
    <n v="0"/>
    <n v="0"/>
    <n v="0"/>
    <n v="0"/>
    <n v="0"/>
    <n v="0"/>
    <n v="0"/>
    <s v="MMR012CMP006"/>
    <x v="3"/>
    <m/>
  </r>
  <r>
    <n v="70.466666666666669"/>
    <x v="5"/>
    <x v="221"/>
    <x v="9"/>
    <m/>
    <x v="0"/>
    <x v="7"/>
    <s v="Myat Buddha Mandine Monastery"/>
    <n v="35"/>
    <m/>
    <m/>
    <m/>
    <m/>
    <m/>
    <m/>
    <m/>
    <m/>
    <m/>
    <m/>
    <m/>
    <m/>
    <m/>
    <m/>
    <m/>
    <m/>
    <m/>
    <m/>
    <m/>
    <m/>
    <n v="0"/>
    <n v="0"/>
    <n v="0"/>
    <n v="0"/>
    <n v="0"/>
    <n v="0"/>
    <n v="0"/>
    <n v="0"/>
    <n v="0"/>
    <n v="0"/>
    <n v="0"/>
    <n v="0"/>
    <n v="0"/>
    <n v="0"/>
    <n v="0"/>
    <n v="0"/>
    <s v="MMR012CMP011"/>
    <x v="4"/>
    <m/>
  </r>
  <r>
    <n v="70.466666666666669"/>
    <x v="5"/>
    <x v="221"/>
    <x v="9"/>
    <m/>
    <x v="0"/>
    <x v="6"/>
    <s v="Nagara Pauktaw"/>
    <n v="230"/>
    <m/>
    <m/>
    <m/>
    <m/>
    <m/>
    <m/>
    <m/>
    <m/>
    <m/>
    <m/>
    <m/>
    <m/>
    <m/>
    <m/>
    <m/>
    <m/>
    <m/>
    <m/>
    <m/>
    <m/>
    <n v="0"/>
    <n v="0"/>
    <n v="0"/>
    <n v="0"/>
    <n v="0"/>
    <n v="0"/>
    <n v="0"/>
    <n v="0"/>
    <n v="0"/>
    <n v="0"/>
    <n v="0"/>
    <n v="0"/>
    <n v="0"/>
    <n v="0"/>
    <n v="0"/>
    <n v="0"/>
    <s v="MMR012CMP004"/>
    <x v="4"/>
    <m/>
  </r>
  <r>
    <n v="70.466666666666669"/>
    <x v="5"/>
    <x v="221"/>
    <x v="9"/>
    <m/>
    <x v="0"/>
    <x v="7"/>
    <s v="Pa Rein"/>
    <n v="245"/>
    <m/>
    <m/>
    <m/>
    <m/>
    <m/>
    <m/>
    <m/>
    <m/>
    <m/>
    <m/>
    <m/>
    <m/>
    <m/>
    <m/>
    <m/>
    <m/>
    <m/>
    <m/>
    <m/>
    <m/>
    <n v="0"/>
    <n v="0"/>
    <n v="0"/>
    <n v="0"/>
    <n v="0"/>
    <n v="0"/>
    <n v="0"/>
    <n v="0"/>
    <n v="0"/>
    <n v="0"/>
    <n v="0"/>
    <n v="0"/>
    <n v="0"/>
    <n v="0"/>
    <n v="0"/>
    <n v="0"/>
    <s v="MMR012CMP009"/>
    <x v="3"/>
    <m/>
  </r>
  <r>
    <n v="70.466666666666669"/>
    <x v="5"/>
    <x v="221"/>
    <x v="9"/>
    <m/>
    <x v="0"/>
    <x v="6"/>
    <s v="Paik Thay"/>
    <n v="20"/>
    <m/>
    <m/>
    <m/>
    <m/>
    <m/>
    <m/>
    <m/>
    <m/>
    <m/>
    <m/>
    <m/>
    <m/>
    <m/>
    <m/>
    <m/>
    <m/>
    <m/>
    <m/>
    <m/>
    <m/>
    <n v="0"/>
    <n v="0"/>
    <n v="0"/>
    <n v="0"/>
    <n v="0"/>
    <n v="0"/>
    <n v="0"/>
    <n v="0"/>
    <n v="0"/>
    <n v="0"/>
    <n v="0"/>
    <n v="0"/>
    <n v="0"/>
    <n v="0"/>
    <n v="0"/>
    <n v="0"/>
    <s v="MMR012CMP001"/>
    <x v="3"/>
    <m/>
  </r>
  <r>
    <n v="70.466666666666669"/>
    <x v="5"/>
    <x v="221"/>
    <x v="9"/>
    <m/>
    <x v="0"/>
    <x v="6"/>
    <s v="Sam Ba Le"/>
    <n v="230"/>
    <m/>
    <m/>
    <m/>
    <m/>
    <m/>
    <m/>
    <m/>
    <m/>
    <m/>
    <m/>
    <m/>
    <m/>
    <m/>
    <m/>
    <m/>
    <m/>
    <m/>
    <m/>
    <m/>
    <m/>
    <n v="0"/>
    <n v="0"/>
    <n v="0"/>
    <n v="0"/>
    <n v="0"/>
    <n v="0"/>
    <n v="0"/>
    <n v="0"/>
    <n v="0"/>
    <n v="0"/>
    <n v="0"/>
    <n v="0"/>
    <n v="0"/>
    <n v="0"/>
    <n v="0"/>
    <n v="0"/>
    <s v="MMR012CMP008"/>
    <x v="3"/>
    <m/>
  </r>
  <r>
    <n v="70.466666666666669"/>
    <x v="5"/>
    <x v="221"/>
    <x v="9"/>
    <m/>
    <x v="0"/>
    <x v="6"/>
    <s v="San Htoe Tan"/>
    <n v="90"/>
    <m/>
    <m/>
    <m/>
    <m/>
    <m/>
    <m/>
    <m/>
    <m/>
    <m/>
    <m/>
    <m/>
    <m/>
    <m/>
    <m/>
    <m/>
    <m/>
    <m/>
    <m/>
    <m/>
    <m/>
    <n v="0"/>
    <n v="0"/>
    <n v="0"/>
    <n v="0"/>
    <n v="0"/>
    <n v="0"/>
    <n v="0"/>
    <n v="0"/>
    <n v="0"/>
    <n v="0"/>
    <n v="0"/>
    <n v="0"/>
    <n v="0"/>
    <n v="0"/>
    <n v="0"/>
    <n v="0"/>
    <s v="MMR012CMP003"/>
    <x v="3"/>
    <m/>
  </r>
  <r>
    <n v="70.466666666666669"/>
    <x v="5"/>
    <x v="221"/>
    <x v="9"/>
    <m/>
    <x v="0"/>
    <x v="6"/>
    <s v="Tha Dar"/>
    <n v="205"/>
    <m/>
    <m/>
    <m/>
    <m/>
    <m/>
    <m/>
    <m/>
    <m/>
    <m/>
    <m/>
    <m/>
    <m/>
    <m/>
    <m/>
    <m/>
    <m/>
    <m/>
    <m/>
    <m/>
    <m/>
    <n v="0"/>
    <n v="0"/>
    <n v="0"/>
    <n v="0"/>
    <n v="0"/>
    <n v="0"/>
    <n v="0"/>
    <n v="0"/>
    <n v="0"/>
    <n v="0"/>
    <n v="0"/>
    <n v="0"/>
    <n v="0"/>
    <n v="0"/>
    <n v="0"/>
    <n v="0"/>
    <s v="MMR012CMP002"/>
    <x v="3"/>
    <m/>
  </r>
  <r>
    <n v="70.466666666666669"/>
    <x v="5"/>
    <x v="221"/>
    <x v="9"/>
    <m/>
    <x v="0"/>
    <x v="6"/>
    <s v="Thay Kan"/>
    <n v="35"/>
    <m/>
    <m/>
    <m/>
    <m/>
    <m/>
    <m/>
    <m/>
    <m/>
    <m/>
    <m/>
    <m/>
    <m/>
    <m/>
    <m/>
    <m/>
    <m/>
    <m/>
    <m/>
    <m/>
    <m/>
    <n v="0"/>
    <n v="0"/>
    <n v="0"/>
    <n v="0"/>
    <n v="0"/>
    <n v="0"/>
    <n v="0"/>
    <n v="0"/>
    <n v="0"/>
    <n v="0"/>
    <n v="0"/>
    <n v="0"/>
    <n v="0"/>
    <n v="0"/>
    <n v="0"/>
    <n v="0"/>
    <s v="MMR012CMP007"/>
    <x v="4"/>
    <m/>
  </r>
  <r>
    <n v="70.466666666666669"/>
    <x v="5"/>
    <x v="221"/>
    <x v="9"/>
    <m/>
    <x v="0"/>
    <x v="7"/>
    <s v="Yai Thei-Muslim"/>
    <n v="360"/>
    <m/>
    <m/>
    <m/>
    <m/>
    <m/>
    <m/>
    <m/>
    <m/>
    <m/>
    <m/>
    <m/>
    <m/>
    <m/>
    <m/>
    <m/>
    <m/>
    <m/>
    <m/>
    <m/>
    <m/>
    <n v="0"/>
    <n v="0"/>
    <n v="0"/>
    <n v="0"/>
    <n v="0"/>
    <n v="0"/>
    <n v="0"/>
    <n v="0"/>
    <n v="0"/>
    <n v="0"/>
    <n v="0"/>
    <n v="0"/>
    <n v="0"/>
    <n v="0"/>
    <n v="0"/>
    <n v="0"/>
    <s v="MMR012CMP010"/>
    <x v="3"/>
    <m/>
  </r>
  <r>
    <n v="70.5"/>
    <x v="5"/>
    <x v="222"/>
    <x v="0"/>
    <m/>
    <x v="0"/>
    <x v="8"/>
    <s v="Ywa thit Kay"/>
    <m/>
    <m/>
    <m/>
    <n v="20"/>
    <m/>
    <n v="40"/>
    <n v="20"/>
    <n v="40"/>
    <n v="20"/>
    <n v="20"/>
    <n v="20"/>
    <m/>
    <n v="40"/>
    <m/>
    <m/>
    <m/>
    <m/>
    <m/>
    <m/>
    <m/>
    <m/>
    <n v="0"/>
    <n v="0"/>
    <n v="0"/>
    <n v="0"/>
    <n v="0"/>
    <n v="0"/>
    <n v="0"/>
    <n v="0"/>
    <n v="0"/>
    <n v="0"/>
    <n v="0"/>
    <n v="0"/>
    <n v="0"/>
    <n v="0"/>
    <n v="0"/>
    <n v="0"/>
    <s v=""/>
    <x v="1"/>
    <m/>
  </r>
  <r>
    <n v="70.5"/>
    <x v="5"/>
    <x v="222"/>
    <x v="0"/>
    <m/>
    <x v="0"/>
    <x v="8"/>
    <s v="Ywa thit Kay"/>
    <m/>
    <m/>
    <m/>
    <m/>
    <n v="40"/>
    <n v="81"/>
    <n v="20"/>
    <m/>
    <m/>
    <m/>
    <m/>
    <m/>
    <m/>
    <m/>
    <m/>
    <m/>
    <m/>
    <m/>
    <m/>
    <m/>
    <m/>
    <n v="0"/>
    <n v="0"/>
    <n v="0"/>
    <n v="0"/>
    <n v="0"/>
    <n v="0"/>
    <n v="0"/>
    <n v="0"/>
    <n v="0"/>
    <n v="0"/>
    <n v="0"/>
    <n v="0"/>
    <n v="0"/>
    <n v="0"/>
    <n v="0"/>
    <n v="0"/>
    <s v=""/>
    <x v="1"/>
    <m/>
  </r>
  <r>
    <n v="70.7"/>
    <x v="5"/>
    <x v="223"/>
    <x v="9"/>
    <m/>
    <x v="0"/>
    <x v="5"/>
    <s v="Ka Nyin Taw"/>
    <n v="71"/>
    <m/>
    <m/>
    <m/>
    <m/>
    <m/>
    <m/>
    <m/>
    <m/>
    <m/>
    <m/>
    <m/>
    <m/>
    <m/>
    <m/>
    <m/>
    <m/>
    <m/>
    <m/>
    <m/>
    <m/>
    <n v="0"/>
    <n v="0"/>
    <n v="0"/>
    <n v="0"/>
    <n v="0"/>
    <n v="0"/>
    <n v="0"/>
    <n v="0"/>
    <n v="0"/>
    <n v="0"/>
    <n v="0"/>
    <n v="0"/>
    <n v="0"/>
    <n v="0"/>
    <n v="0"/>
    <n v="0"/>
    <s v="MMR012CMP036"/>
    <x v="2"/>
    <m/>
  </r>
  <r>
    <n v="70.7"/>
    <x v="5"/>
    <x v="223"/>
    <x v="9"/>
    <m/>
    <x v="0"/>
    <x v="2"/>
    <s v="Kan Thar Htwat Wa"/>
    <n v="45"/>
    <m/>
    <m/>
    <m/>
    <m/>
    <m/>
    <m/>
    <m/>
    <m/>
    <m/>
    <m/>
    <m/>
    <m/>
    <m/>
    <m/>
    <m/>
    <m/>
    <m/>
    <m/>
    <m/>
    <m/>
    <n v="0"/>
    <n v="0"/>
    <n v="0"/>
    <n v="0"/>
    <n v="0"/>
    <n v="0"/>
    <n v="0"/>
    <n v="0"/>
    <n v="0"/>
    <n v="0"/>
    <n v="0"/>
    <n v="0"/>
    <n v="0"/>
    <n v="0"/>
    <n v="0"/>
    <n v="0"/>
    <s v="MMR012CMP013"/>
    <x v="2"/>
    <m/>
  </r>
  <r>
    <n v="70.7"/>
    <x v="5"/>
    <x v="223"/>
    <x v="9"/>
    <m/>
    <x v="0"/>
    <x v="5"/>
    <s v="Kyauk Ta Lone"/>
    <n v="418"/>
    <m/>
    <m/>
    <m/>
    <m/>
    <m/>
    <m/>
    <m/>
    <m/>
    <m/>
    <m/>
    <m/>
    <m/>
    <m/>
    <m/>
    <m/>
    <m/>
    <m/>
    <m/>
    <m/>
    <m/>
    <n v="0"/>
    <n v="0"/>
    <n v="0"/>
    <n v="0"/>
    <n v="0"/>
    <n v="0"/>
    <n v="0"/>
    <n v="0"/>
    <n v="0"/>
    <n v="0"/>
    <n v="0"/>
    <n v="0"/>
    <n v="0"/>
    <n v="0"/>
    <n v="0"/>
    <n v="0"/>
    <s v="MMR012CMP035"/>
    <x v="0"/>
    <m/>
  </r>
  <r>
    <n v="70.7"/>
    <x v="5"/>
    <x v="223"/>
    <x v="9"/>
    <m/>
    <x v="0"/>
    <x v="9"/>
    <s v="Ramree Town"/>
    <n v="24"/>
    <m/>
    <m/>
    <m/>
    <m/>
    <m/>
    <m/>
    <m/>
    <m/>
    <m/>
    <m/>
    <m/>
    <m/>
    <m/>
    <m/>
    <m/>
    <m/>
    <m/>
    <m/>
    <m/>
    <m/>
    <n v="0"/>
    <n v="0"/>
    <n v="0"/>
    <n v="0"/>
    <n v="0"/>
    <n v="0"/>
    <n v="0"/>
    <n v="0"/>
    <n v="0"/>
    <n v="0"/>
    <n v="0"/>
    <n v="0"/>
    <n v="0"/>
    <n v="0"/>
    <n v="0"/>
    <n v="0"/>
    <s v="MMR012CMP038"/>
    <x v="4"/>
    <m/>
  </r>
  <r>
    <n v="70.7"/>
    <x v="5"/>
    <x v="223"/>
    <x v="9"/>
    <m/>
    <x v="0"/>
    <x v="9"/>
    <s v="Ramree Ward 6"/>
    <n v="97"/>
    <m/>
    <m/>
    <m/>
    <m/>
    <m/>
    <m/>
    <m/>
    <m/>
    <m/>
    <m/>
    <m/>
    <m/>
    <m/>
    <m/>
    <m/>
    <m/>
    <m/>
    <m/>
    <m/>
    <m/>
    <n v="0"/>
    <n v="0"/>
    <n v="0"/>
    <n v="0"/>
    <n v="0"/>
    <n v="0"/>
    <n v="0"/>
    <n v="0"/>
    <n v="0"/>
    <n v="0"/>
    <n v="0"/>
    <n v="0"/>
    <n v="0"/>
    <n v="0"/>
    <n v="0"/>
    <n v="0"/>
    <s v="MMR012CMP037"/>
    <x v="4"/>
    <m/>
  </r>
  <r>
    <n v="70.7"/>
    <x v="5"/>
    <x v="223"/>
    <x v="9"/>
    <m/>
    <x v="0"/>
    <x v="2"/>
    <s v="Taung Paw "/>
    <n v="705"/>
    <m/>
    <m/>
    <m/>
    <m/>
    <m/>
    <m/>
    <m/>
    <m/>
    <m/>
    <m/>
    <m/>
    <m/>
    <m/>
    <m/>
    <m/>
    <m/>
    <m/>
    <m/>
    <m/>
    <m/>
    <n v="0"/>
    <n v="0"/>
    <n v="0"/>
    <n v="0"/>
    <n v="0"/>
    <n v="0"/>
    <n v="0"/>
    <n v="0"/>
    <n v="0"/>
    <n v="0"/>
    <n v="0"/>
    <n v="0"/>
    <n v="0"/>
    <n v="0"/>
    <n v="0"/>
    <n v="0"/>
    <s v="MMR012CMP014"/>
    <x v="0"/>
    <m/>
  </r>
  <r>
    <n v="70.933333333333337"/>
    <x v="5"/>
    <x v="224"/>
    <x v="20"/>
    <s v="Save the Children"/>
    <x v="0"/>
    <x v="1"/>
    <s v="Ah Nauk Ywe"/>
    <n v="803"/>
    <m/>
    <m/>
    <m/>
    <m/>
    <m/>
    <m/>
    <m/>
    <m/>
    <m/>
    <m/>
    <m/>
    <m/>
    <m/>
    <m/>
    <m/>
    <m/>
    <m/>
    <m/>
    <m/>
    <m/>
    <n v="0"/>
    <n v="0"/>
    <n v="0"/>
    <n v="0"/>
    <n v="0"/>
    <n v="0"/>
    <n v="0"/>
    <n v="0"/>
    <n v="0"/>
    <n v="0"/>
    <n v="0"/>
    <n v="0"/>
    <n v="0"/>
    <n v="0"/>
    <n v="0"/>
    <n v="0"/>
    <s v="MMR012CMP016"/>
    <x v="0"/>
    <m/>
  </r>
  <r>
    <n v="70.933333333333337"/>
    <x v="5"/>
    <x v="224"/>
    <x v="20"/>
    <s v="Save the Children"/>
    <x v="0"/>
    <x v="1"/>
    <s v="Kyein Ni Pyin"/>
    <n v="858"/>
    <m/>
    <m/>
    <m/>
    <m/>
    <m/>
    <m/>
    <m/>
    <m/>
    <m/>
    <m/>
    <m/>
    <m/>
    <m/>
    <m/>
    <m/>
    <m/>
    <m/>
    <m/>
    <m/>
    <m/>
    <n v="0"/>
    <n v="0"/>
    <n v="0"/>
    <n v="0"/>
    <n v="0"/>
    <n v="0"/>
    <n v="0"/>
    <n v="0"/>
    <n v="0"/>
    <n v="0"/>
    <n v="0"/>
    <n v="0"/>
    <n v="0"/>
    <n v="0"/>
    <n v="0"/>
    <n v="0"/>
    <s v="MMR012CMP018"/>
    <x v="0"/>
    <m/>
  </r>
  <r>
    <n v="71"/>
    <x v="5"/>
    <x v="225"/>
    <x v="20"/>
    <s v="Save the Children"/>
    <x v="0"/>
    <x v="1"/>
    <s v="Sin Tet Maw"/>
    <n v="810"/>
    <m/>
    <m/>
    <m/>
    <m/>
    <m/>
    <m/>
    <m/>
    <m/>
    <m/>
    <m/>
    <m/>
    <m/>
    <m/>
    <m/>
    <m/>
    <m/>
    <m/>
    <m/>
    <m/>
    <m/>
    <n v="0"/>
    <n v="0"/>
    <n v="0"/>
    <n v="0"/>
    <n v="0"/>
    <n v="0"/>
    <n v="0"/>
    <n v="0"/>
    <n v="0"/>
    <n v="0"/>
    <n v="0"/>
    <n v="0"/>
    <n v="0"/>
    <n v="0"/>
    <n v="0"/>
    <n v="0"/>
    <s v="MMR012CMP019"/>
    <x v="0"/>
    <m/>
  </r>
  <r>
    <n v="71.2"/>
    <x v="5"/>
    <x v="226"/>
    <x v="20"/>
    <s v="Save the Children"/>
    <x v="0"/>
    <x v="0"/>
    <s v="Thet Kae Pyin "/>
    <n v="3100"/>
    <m/>
    <m/>
    <m/>
    <m/>
    <m/>
    <m/>
    <m/>
    <m/>
    <m/>
    <m/>
    <m/>
    <m/>
    <m/>
    <m/>
    <m/>
    <m/>
    <m/>
    <m/>
    <m/>
    <m/>
    <n v="0"/>
    <n v="0"/>
    <n v="0"/>
    <n v="0"/>
    <n v="0"/>
    <n v="0"/>
    <n v="0"/>
    <n v="0"/>
    <n v="0"/>
    <n v="0"/>
    <n v="0"/>
    <n v="0"/>
    <n v="0"/>
    <n v="0"/>
    <n v="0"/>
    <n v="0"/>
    <s v="MMR012CMP048"/>
    <x v="0"/>
    <m/>
  </r>
  <r>
    <n v="71.3"/>
    <x v="5"/>
    <x v="227"/>
    <x v="24"/>
    <s v="UNHCR"/>
    <x v="0"/>
    <x v="0"/>
    <s v="Ohn Taw Gyi 3"/>
    <m/>
    <m/>
    <m/>
    <m/>
    <m/>
    <m/>
    <m/>
    <n v="38"/>
    <m/>
    <m/>
    <m/>
    <m/>
    <m/>
    <m/>
    <m/>
    <m/>
    <m/>
    <m/>
    <m/>
    <m/>
    <m/>
    <n v="0"/>
    <n v="0"/>
    <n v="0"/>
    <n v="0"/>
    <n v="0"/>
    <n v="0"/>
    <n v="0"/>
    <n v="0"/>
    <n v="0"/>
    <n v="0"/>
    <n v="0"/>
    <n v="0"/>
    <n v="0"/>
    <n v="0"/>
    <n v="0"/>
    <n v="0"/>
    <s v="MMR012CMP090"/>
    <x v="4"/>
    <m/>
  </r>
  <r>
    <n v="71.400000000000006"/>
    <x v="5"/>
    <x v="228"/>
    <x v="0"/>
    <m/>
    <x v="0"/>
    <x v="8"/>
    <s v="Du Than Dar"/>
    <m/>
    <m/>
    <m/>
    <n v="63"/>
    <m/>
    <n v="126"/>
    <n v="63"/>
    <n v="126"/>
    <n v="63"/>
    <n v="63"/>
    <n v="63"/>
    <m/>
    <n v="126"/>
    <m/>
    <m/>
    <m/>
    <m/>
    <m/>
    <m/>
    <m/>
    <m/>
    <n v="0"/>
    <n v="0"/>
    <n v="0"/>
    <n v="0"/>
    <n v="0"/>
    <n v="0"/>
    <n v="0"/>
    <n v="0"/>
    <n v="0"/>
    <n v="0"/>
    <n v="0"/>
    <n v="0"/>
    <n v="0"/>
    <n v="0"/>
    <n v="0"/>
    <n v="0"/>
    <s v=""/>
    <x v="1"/>
    <m/>
  </r>
  <r>
    <n v="71.400000000000006"/>
    <x v="5"/>
    <x v="228"/>
    <x v="0"/>
    <m/>
    <x v="0"/>
    <x v="8"/>
    <s v="Du Than Dar"/>
    <m/>
    <m/>
    <m/>
    <m/>
    <n v="63"/>
    <n v="126"/>
    <n v="63"/>
    <n v="0"/>
    <m/>
    <m/>
    <m/>
    <m/>
    <m/>
    <m/>
    <m/>
    <m/>
    <m/>
    <m/>
    <m/>
    <m/>
    <m/>
    <n v="0"/>
    <n v="0"/>
    <n v="0"/>
    <n v="0"/>
    <n v="0"/>
    <n v="0"/>
    <n v="0"/>
    <n v="0"/>
    <n v="0"/>
    <n v="0"/>
    <n v="0"/>
    <n v="0"/>
    <n v="0"/>
    <n v="0"/>
    <n v="0"/>
    <n v="0"/>
    <s v=""/>
    <x v="1"/>
    <m/>
  </r>
  <r>
    <n v="71.400000000000006"/>
    <x v="5"/>
    <x v="228"/>
    <x v="24"/>
    <s v="UNHCR"/>
    <x v="0"/>
    <x v="0"/>
    <s v="Ohn Taw Gyi 3"/>
    <m/>
    <m/>
    <m/>
    <m/>
    <m/>
    <m/>
    <m/>
    <n v="50"/>
    <m/>
    <m/>
    <m/>
    <m/>
    <m/>
    <m/>
    <m/>
    <m/>
    <m/>
    <m/>
    <m/>
    <m/>
    <m/>
    <n v="0"/>
    <n v="0"/>
    <n v="0"/>
    <n v="0"/>
    <n v="0"/>
    <n v="0"/>
    <n v="0"/>
    <n v="0"/>
    <n v="0"/>
    <n v="0"/>
    <n v="0"/>
    <n v="0"/>
    <n v="0"/>
    <n v="0"/>
    <n v="0"/>
    <n v="0"/>
    <s v="MMR012CMP090"/>
    <x v="4"/>
    <m/>
  </r>
  <r>
    <n v="71.433333333333337"/>
    <x v="5"/>
    <x v="229"/>
    <x v="24"/>
    <s v="UNHCR"/>
    <x v="0"/>
    <x v="0"/>
    <s v="Ohn Taw Gyi 3"/>
    <m/>
    <m/>
    <m/>
    <m/>
    <m/>
    <m/>
    <m/>
    <n v="50"/>
    <m/>
    <m/>
    <m/>
    <m/>
    <m/>
    <m/>
    <m/>
    <m/>
    <m/>
    <m/>
    <m/>
    <m/>
    <m/>
    <n v="0"/>
    <n v="0"/>
    <n v="0"/>
    <n v="0"/>
    <n v="0"/>
    <n v="0"/>
    <n v="0"/>
    <n v="0"/>
    <n v="0"/>
    <n v="0"/>
    <n v="0"/>
    <n v="0"/>
    <n v="0"/>
    <n v="0"/>
    <n v="0"/>
    <n v="0"/>
    <s v="MMR012CMP090"/>
    <x v="4"/>
    <m/>
  </r>
  <r>
    <n v="71.666666666666671"/>
    <x v="5"/>
    <x v="230"/>
    <x v="0"/>
    <m/>
    <x v="0"/>
    <x v="8"/>
    <s v="Lamber Gone Nah"/>
    <m/>
    <m/>
    <m/>
    <n v="56"/>
    <m/>
    <n v="112"/>
    <n v="56"/>
    <n v="112"/>
    <n v="56"/>
    <n v="56"/>
    <n v="56"/>
    <m/>
    <n v="112"/>
    <m/>
    <m/>
    <m/>
    <m/>
    <m/>
    <m/>
    <m/>
    <m/>
    <n v="0"/>
    <n v="0"/>
    <n v="0"/>
    <n v="0"/>
    <n v="0"/>
    <n v="0"/>
    <n v="0"/>
    <n v="0"/>
    <n v="0"/>
    <n v="0"/>
    <n v="0"/>
    <n v="0"/>
    <n v="0"/>
    <n v="0"/>
    <n v="0"/>
    <n v="0"/>
    <s v="MMR012CMP087"/>
    <x v="4"/>
    <m/>
  </r>
  <r>
    <n v="71.666666666666671"/>
    <x v="5"/>
    <x v="230"/>
    <x v="0"/>
    <m/>
    <x v="0"/>
    <x v="8"/>
    <s v="Lamber Gone Nah"/>
    <m/>
    <m/>
    <m/>
    <m/>
    <n v="112"/>
    <n v="112"/>
    <n v="56"/>
    <n v="0"/>
    <m/>
    <m/>
    <m/>
    <m/>
    <m/>
    <m/>
    <m/>
    <m/>
    <m/>
    <m/>
    <m/>
    <m/>
    <m/>
    <n v="0"/>
    <n v="0"/>
    <n v="0"/>
    <n v="0"/>
    <n v="0"/>
    <n v="0"/>
    <n v="0"/>
    <n v="0"/>
    <n v="0"/>
    <n v="0"/>
    <n v="0"/>
    <n v="0"/>
    <n v="0"/>
    <n v="0"/>
    <n v="0"/>
    <n v="0"/>
    <s v="MMR012CMP087"/>
    <x v="4"/>
    <m/>
  </r>
  <r>
    <n v="71.666666666666671"/>
    <x v="5"/>
    <x v="230"/>
    <x v="24"/>
    <s v="UNHCR"/>
    <x v="0"/>
    <x v="0"/>
    <s v="Ohn Taw Gyi 3"/>
    <m/>
    <m/>
    <m/>
    <m/>
    <m/>
    <m/>
    <m/>
    <n v="45"/>
    <m/>
    <m/>
    <m/>
    <m/>
    <m/>
    <m/>
    <m/>
    <m/>
    <m/>
    <m/>
    <m/>
    <m/>
    <m/>
    <n v="0"/>
    <n v="0"/>
    <n v="0"/>
    <n v="0"/>
    <n v="0"/>
    <n v="0"/>
    <n v="0"/>
    <n v="0"/>
    <n v="0"/>
    <n v="0"/>
    <n v="0"/>
    <n v="0"/>
    <n v="0"/>
    <n v="0"/>
    <n v="0"/>
    <n v="0"/>
    <s v="MMR012CMP090"/>
    <x v="4"/>
    <m/>
  </r>
  <r>
    <n v="71.7"/>
    <x v="5"/>
    <x v="231"/>
    <x v="24"/>
    <s v="UNHCR"/>
    <x v="0"/>
    <x v="0"/>
    <s v="Ohn Taw Gyi 3"/>
    <m/>
    <m/>
    <m/>
    <m/>
    <m/>
    <m/>
    <m/>
    <n v="50"/>
    <m/>
    <m/>
    <m/>
    <m/>
    <m/>
    <m/>
    <m/>
    <m/>
    <m/>
    <m/>
    <m/>
    <m/>
    <m/>
    <n v="0"/>
    <n v="0"/>
    <n v="0"/>
    <n v="0"/>
    <n v="0"/>
    <n v="0"/>
    <n v="0"/>
    <n v="0"/>
    <n v="0"/>
    <n v="0"/>
    <n v="0"/>
    <n v="0"/>
    <n v="0"/>
    <n v="0"/>
    <n v="0"/>
    <n v="0"/>
    <s v="MMR012CMP090"/>
    <x v="4"/>
    <m/>
  </r>
  <r>
    <n v="71.766666666666666"/>
    <x v="5"/>
    <x v="232"/>
    <x v="0"/>
    <m/>
    <x v="0"/>
    <x v="3"/>
    <s v="Ah Htet Nan Yar"/>
    <m/>
    <m/>
    <m/>
    <n v="228"/>
    <m/>
    <n v="456"/>
    <n v="228"/>
    <n v="456"/>
    <n v="228"/>
    <n v="228"/>
    <n v="228"/>
    <m/>
    <n v="456"/>
    <m/>
    <m/>
    <m/>
    <m/>
    <m/>
    <m/>
    <m/>
    <m/>
    <n v="0"/>
    <n v="0"/>
    <n v="0"/>
    <n v="0"/>
    <n v="0"/>
    <n v="0"/>
    <n v="0"/>
    <n v="0"/>
    <n v="0"/>
    <n v="0"/>
    <n v="0"/>
    <n v="0"/>
    <n v="0"/>
    <n v="0"/>
    <n v="0"/>
    <n v="0"/>
    <s v=""/>
    <x v="1"/>
    <m/>
  </r>
  <r>
    <n v="71.766666666666666"/>
    <x v="5"/>
    <x v="232"/>
    <x v="0"/>
    <m/>
    <x v="0"/>
    <x v="3"/>
    <s v="Ah Htet Nan Yar"/>
    <m/>
    <m/>
    <m/>
    <m/>
    <n v="228"/>
    <n v="443"/>
    <n v="228"/>
    <n v="0"/>
    <m/>
    <m/>
    <m/>
    <m/>
    <m/>
    <m/>
    <m/>
    <m/>
    <m/>
    <m/>
    <m/>
    <m/>
    <m/>
    <n v="0"/>
    <n v="0"/>
    <n v="0"/>
    <n v="0"/>
    <n v="0"/>
    <n v="0"/>
    <n v="0"/>
    <n v="0"/>
    <n v="0"/>
    <n v="0"/>
    <n v="0"/>
    <n v="0"/>
    <n v="0"/>
    <n v="0"/>
    <n v="0"/>
    <n v="0"/>
    <s v=""/>
    <x v="1"/>
    <m/>
  </r>
  <r>
    <n v="71.766666666666666"/>
    <x v="5"/>
    <x v="232"/>
    <x v="0"/>
    <m/>
    <x v="0"/>
    <x v="8"/>
    <s v="Myoma Myauk"/>
    <m/>
    <m/>
    <m/>
    <n v="93"/>
    <m/>
    <n v="186"/>
    <n v="93"/>
    <n v="186"/>
    <n v="93"/>
    <n v="93"/>
    <n v="93"/>
    <m/>
    <n v="186"/>
    <m/>
    <m/>
    <m/>
    <m/>
    <m/>
    <m/>
    <m/>
    <m/>
    <n v="0"/>
    <n v="0"/>
    <n v="0"/>
    <n v="0"/>
    <n v="0"/>
    <n v="0"/>
    <n v="0"/>
    <n v="0"/>
    <n v="0"/>
    <n v="0"/>
    <n v="0"/>
    <n v="0"/>
    <n v="0"/>
    <n v="0"/>
    <n v="0"/>
    <n v="0"/>
    <s v=""/>
    <x v="1"/>
    <m/>
  </r>
  <r>
    <n v="71.766666666666666"/>
    <x v="5"/>
    <x v="232"/>
    <x v="0"/>
    <m/>
    <x v="0"/>
    <x v="8"/>
    <s v="Myoma Myauk"/>
    <m/>
    <m/>
    <m/>
    <m/>
    <n v="186"/>
    <n v="186"/>
    <n v="93"/>
    <n v="0"/>
    <m/>
    <m/>
    <m/>
    <m/>
    <m/>
    <m/>
    <m/>
    <m/>
    <m/>
    <m/>
    <m/>
    <m/>
    <m/>
    <n v="0"/>
    <n v="0"/>
    <n v="0"/>
    <n v="0"/>
    <n v="0"/>
    <n v="0"/>
    <n v="0"/>
    <n v="0"/>
    <n v="0"/>
    <n v="0"/>
    <n v="0"/>
    <n v="0"/>
    <n v="0"/>
    <n v="0"/>
    <n v="0"/>
    <n v="0"/>
    <s v=""/>
    <x v="1"/>
    <m/>
  </r>
  <r>
    <n v="71.966666666666669"/>
    <x v="5"/>
    <x v="233"/>
    <x v="12"/>
    <s v="CDN"/>
    <x v="0"/>
    <x v="0"/>
    <s v="Basare"/>
    <n v="20"/>
    <m/>
    <m/>
    <m/>
    <m/>
    <m/>
    <m/>
    <m/>
    <m/>
    <m/>
    <m/>
    <m/>
    <m/>
    <m/>
    <m/>
    <m/>
    <m/>
    <m/>
    <m/>
    <m/>
    <m/>
    <n v="0"/>
    <n v="0"/>
    <n v="0"/>
    <n v="0"/>
    <n v="0"/>
    <n v="0"/>
    <n v="0"/>
    <n v="0"/>
    <n v="0"/>
    <n v="0"/>
    <n v="0"/>
    <n v="0"/>
    <n v="0"/>
    <n v="0"/>
    <n v="0"/>
    <n v="0"/>
    <s v="MMR012CMP039"/>
    <x v="0"/>
    <m/>
  </r>
  <r>
    <n v="71.966666666666669"/>
    <x v="5"/>
    <x v="233"/>
    <x v="5"/>
    <s v="Solidarities International"/>
    <x v="0"/>
    <x v="0"/>
    <s v="Baw Du Pha"/>
    <n v="4390"/>
    <m/>
    <m/>
    <m/>
    <m/>
    <m/>
    <m/>
    <m/>
    <m/>
    <m/>
    <m/>
    <m/>
    <m/>
    <m/>
    <m/>
    <m/>
    <m/>
    <m/>
    <m/>
    <m/>
    <m/>
    <n v="0"/>
    <n v="0"/>
    <n v="0"/>
    <n v="0"/>
    <n v="0"/>
    <n v="0"/>
    <n v="0"/>
    <n v="0"/>
    <n v="0"/>
    <n v="0"/>
    <n v="0"/>
    <n v="0"/>
    <n v="0"/>
    <n v="0"/>
    <n v="0"/>
    <n v="0"/>
    <s v="MMR012CMP040"/>
    <x v="4"/>
    <m/>
  </r>
  <r>
    <n v="71.966666666666669"/>
    <x v="5"/>
    <x v="233"/>
    <x v="5"/>
    <s v="Solidarities International"/>
    <x v="0"/>
    <x v="0"/>
    <s v="Dar Pai"/>
    <n v="3758"/>
    <m/>
    <m/>
    <m/>
    <m/>
    <m/>
    <m/>
    <m/>
    <m/>
    <m/>
    <m/>
    <m/>
    <m/>
    <m/>
    <m/>
    <m/>
    <m/>
    <m/>
    <m/>
    <m/>
    <m/>
    <n v="0"/>
    <n v="0"/>
    <n v="0"/>
    <n v="0"/>
    <n v="0"/>
    <n v="0"/>
    <n v="0"/>
    <n v="0"/>
    <n v="0"/>
    <n v="0"/>
    <n v="0"/>
    <n v="0"/>
    <n v="0"/>
    <n v="0"/>
    <n v="0"/>
    <n v="0"/>
    <s v="MMR012CMP041"/>
    <x v="0"/>
    <m/>
  </r>
  <r>
    <n v="71.966666666666669"/>
    <x v="5"/>
    <x v="233"/>
    <x v="12"/>
    <s v="CDN"/>
    <x v="0"/>
    <x v="0"/>
    <s v="Khaung Doke Khar "/>
    <n v="722"/>
    <m/>
    <m/>
    <m/>
    <m/>
    <m/>
    <m/>
    <m/>
    <m/>
    <m/>
    <m/>
    <m/>
    <m/>
    <m/>
    <m/>
    <m/>
    <m/>
    <m/>
    <m/>
    <m/>
    <m/>
    <n v="0"/>
    <n v="0"/>
    <n v="0"/>
    <n v="0"/>
    <n v="0"/>
    <n v="0"/>
    <n v="0"/>
    <n v="0"/>
    <n v="0"/>
    <n v="0"/>
    <n v="0"/>
    <n v="0"/>
    <n v="0"/>
    <n v="0"/>
    <n v="0"/>
    <n v="0"/>
    <s v=""/>
    <x v="1"/>
    <m/>
  </r>
  <r>
    <n v="71.966666666666669"/>
    <x v="5"/>
    <x v="233"/>
    <x v="25"/>
    <s v="ABCD"/>
    <x v="0"/>
    <x v="0"/>
    <s v="Mingan"/>
    <n v="80"/>
    <m/>
    <m/>
    <m/>
    <m/>
    <m/>
    <m/>
    <m/>
    <m/>
    <m/>
    <m/>
    <m/>
    <m/>
    <m/>
    <m/>
    <m/>
    <m/>
    <m/>
    <m/>
    <m/>
    <m/>
    <n v="0"/>
    <n v="0"/>
    <n v="0"/>
    <n v="0"/>
    <n v="0"/>
    <n v="0"/>
    <n v="0"/>
    <n v="0"/>
    <n v="0"/>
    <n v="0"/>
    <n v="0"/>
    <n v="0"/>
    <n v="0"/>
    <n v="0"/>
    <n v="0"/>
    <n v="0"/>
    <s v="MMR012CMP093"/>
    <x v="2"/>
    <m/>
  </r>
  <r>
    <n v="71.966666666666669"/>
    <x v="5"/>
    <x v="233"/>
    <x v="25"/>
    <s v="ABCD"/>
    <x v="0"/>
    <x v="6"/>
    <s v="Myat Buddha Mandine Monastery"/>
    <n v="50"/>
    <m/>
    <m/>
    <m/>
    <m/>
    <m/>
    <m/>
    <m/>
    <m/>
    <m/>
    <m/>
    <m/>
    <m/>
    <m/>
    <m/>
    <m/>
    <m/>
    <m/>
    <m/>
    <m/>
    <m/>
    <n v="0"/>
    <n v="0"/>
    <n v="0"/>
    <n v="0"/>
    <n v="0"/>
    <n v="0"/>
    <n v="0"/>
    <n v="0"/>
    <n v="0"/>
    <n v="0"/>
    <n v="0"/>
    <n v="0"/>
    <n v="0"/>
    <n v="0"/>
    <n v="0"/>
    <n v="0"/>
    <s v="MMR012CMP011"/>
    <x v="4"/>
    <m/>
  </r>
  <r>
    <n v="71.966666666666669"/>
    <x v="5"/>
    <x v="233"/>
    <x v="25"/>
    <s v="ABCD"/>
    <x v="0"/>
    <x v="0"/>
    <s v="Set Yone Su"/>
    <n v="220"/>
    <m/>
    <m/>
    <m/>
    <m/>
    <m/>
    <m/>
    <m/>
    <m/>
    <m/>
    <m/>
    <m/>
    <m/>
    <m/>
    <m/>
    <m/>
    <m/>
    <m/>
    <m/>
    <m/>
    <m/>
    <n v="0"/>
    <n v="0"/>
    <n v="0"/>
    <n v="0"/>
    <n v="0"/>
    <n v="0"/>
    <n v="0"/>
    <n v="0"/>
    <n v="0"/>
    <n v="0"/>
    <n v="0"/>
    <n v="0"/>
    <n v="0"/>
    <n v="0"/>
    <n v="0"/>
    <n v="0"/>
    <s v="MMR012CMP056"/>
    <x v="2"/>
    <m/>
  </r>
  <r>
    <n v="71.966666666666669"/>
    <x v="5"/>
    <x v="233"/>
    <x v="5"/>
    <s v="Solidarities International"/>
    <x v="0"/>
    <x v="0"/>
    <s v="Set Yone Su"/>
    <n v="220"/>
    <m/>
    <m/>
    <m/>
    <m/>
    <m/>
    <m/>
    <m/>
    <m/>
    <m/>
    <m/>
    <m/>
    <m/>
    <m/>
    <m/>
    <m/>
    <m/>
    <m/>
    <m/>
    <m/>
    <m/>
    <n v="0"/>
    <n v="0"/>
    <n v="0"/>
    <n v="0"/>
    <n v="0"/>
    <n v="0"/>
    <n v="0"/>
    <n v="0"/>
    <n v="0"/>
    <n v="0"/>
    <n v="0"/>
    <n v="0"/>
    <n v="0"/>
    <n v="0"/>
    <n v="0"/>
    <n v="0"/>
    <s v="MMR012CMP056"/>
    <x v="2"/>
    <m/>
  </r>
  <r>
    <n v="71.966666666666669"/>
    <x v="5"/>
    <x v="233"/>
    <x v="5"/>
    <s v="Solidarities International"/>
    <x v="0"/>
    <x v="0"/>
    <s v="Thae Chaung"/>
    <n v="2939"/>
    <m/>
    <m/>
    <m/>
    <m/>
    <m/>
    <m/>
    <m/>
    <m/>
    <m/>
    <m/>
    <m/>
    <m/>
    <m/>
    <m/>
    <m/>
    <m/>
    <m/>
    <m/>
    <m/>
    <m/>
    <n v="0"/>
    <n v="0"/>
    <n v="0"/>
    <n v="0"/>
    <n v="0"/>
    <n v="0"/>
    <n v="0"/>
    <n v="0"/>
    <n v="0"/>
    <n v="0"/>
    <n v="0"/>
    <n v="0"/>
    <n v="0"/>
    <n v="0"/>
    <n v="0"/>
    <n v="0"/>
    <s v="MMR012CMP046"/>
    <x v="0"/>
    <m/>
  </r>
  <r>
    <n v="72.233333333333334"/>
    <x v="6"/>
    <x v="234"/>
    <x v="0"/>
    <m/>
    <x v="0"/>
    <x v="1"/>
    <s v="Ah Nauk Ywe"/>
    <m/>
    <m/>
    <m/>
    <m/>
    <m/>
    <m/>
    <n v="758"/>
    <m/>
    <m/>
    <m/>
    <m/>
    <m/>
    <m/>
    <m/>
    <m/>
    <m/>
    <m/>
    <m/>
    <m/>
    <m/>
    <m/>
    <n v="0"/>
    <n v="0"/>
    <n v="0"/>
    <n v="0"/>
    <n v="0"/>
    <n v="0"/>
    <n v="0"/>
    <n v="0"/>
    <n v="0"/>
    <n v="0"/>
    <n v="0"/>
    <n v="0"/>
    <n v="0"/>
    <n v="0"/>
    <n v="0"/>
    <n v="0"/>
    <s v="MMR012CMP016"/>
    <x v="0"/>
    <m/>
  </r>
  <r>
    <n v="72.233333333333334"/>
    <x v="6"/>
    <x v="234"/>
    <x v="0"/>
    <m/>
    <x v="0"/>
    <x v="1"/>
    <s v="Nget Chaung"/>
    <m/>
    <m/>
    <m/>
    <m/>
    <m/>
    <m/>
    <n v="1306"/>
    <m/>
    <m/>
    <m/>
    <m/>
    <m/>
    <m/>
    <m/>
    <m/>
    <m/>
    <m/>
    <m/>
    <m/>
    <m/>
    <m/>
    <n v="0"/>
    <n v="0"/>
    <n v="0"/>
    <n v="0"/>
    <n v="0"/>
    <n v="0"/>
    <n v="0"/>
    <n v="0"/>
    <n v="0"/>
    <n v="0"/>
    <n v="0"/>
    <n v="0"/>
    <n v="0"/>
    <n v="0"/>
    <n v="0"/>
    <n v="0"/>
    <s v=""/>
    <x v="1"/>
    <m/>
  </r>
  <r>
    <n v="72.233333333333334"/>
    <x v="6"/>
    <x v="234"/>
    <x v="0"/>
    <m/>
    <x v="0"/>
    <x v="1"/>
    <s v="Sin Tet Maw"/>
    <m/>
    <m/>
    <m/>
    <m/>
    <m/>
    <m/>
    <n v="796"/>
    <m/>
    <m/>
    <m/>
    <m/>
    <m/>
    <m/>
    <m/>
    <m/>
    <m/>
    <m/>
    <m/>
    <m/>
    <m/>
    <m/>
    <n v="0"/>
    <n v="0"/>
    <n v="0"/>
    <n v="0"/>
    <n v="0"/>
    <n v="0"/>
    <n v="0"/>
    <n v="0"/>
    <n v="0"/>
    <n v="0"/>
    <n v="0"/>
    <n v="0"/>
    <n v="0"/>
    <n v="0"/>
    <n v="0"/>
    <n v="0"/>
    <s v="MMR012CMP019"/>
    <x v="0"/>
    <m/>
  </r>
  <r>
    <n v="72.266666666666666"/>
    <x v="6"/>
    <x v="235"/>
    <x v="0"/>
    <m/>
    <x v="0"/>
    <x v="8"/>
    <m/>
    <m/>
    <m/>
    <m/>
    <m/>
    <n v="3000"/>
    <m/>
    <m/>
    <m/>
    <m/>
    <m/>
    <m/>
    <m/>
    <m/>
    <m/>
    <m/>
    <m/>
    <m/>
    <m/>
    <m/>
    <m/>
    <m/>
    <n v="0"/>
    <n v="0"/>
    <n v="0"/>
    <n v="0"/>
    <n v="0"/>
    <n v="0"/>
    <n v="0"/>
    <n v="0"/>
    <n v="0"/>
    <n v="0"/>
    <n v="0"/>
    <n v="0"/>
    <n v="0"/>
    <n v="0"/>
    <n v="0"/>
    <n v="0"/>
    <s v=""/>
    <x v="1"/>
    <m/>
  </r>
  <r>
    <n v="72.266666666666666"/>
    <x v="6"/>
    <x v="235"/>
    <x v="0"/>
    <m/>
    <x v="0"/>
    <x v="8"/>
    <m/>
    <m/>
    <m/>
    <m/>
    <m/>
    <m/>
    <m/>
    <n v="1180"/>
    <m/>
    <m/>
    <m/>
    <m/>
    <m/>
    <m/>
    <m/>
    <m/>
    <m/>
    <m/>
    <m/>
    <m/>
    <m/>
    <m/>
    <n v="0"/>
    <n v="0"/>
    <n v="0"/>
    <n v="0"/>
    <n v="0"/>
    <n v="0"/>
    <n v="0"/>
    <n v="0"/>
    <n v="0"/>
    <n v="0"/>
    <n v="0"/>
    <n v="0"/>
    <n v="0"/>
    <n v="0"/>
    <n v="0"/>
    <n v="0"/>
    <s v=""/>
    <x v="1"/>
    <m/>
  </r>
  <r>
    <n v="72.433333333333337"/>
    <x v="6"/>
    <x v="236"/>
    <x v="0"/>
    <m/>
    <x v="0"/>
    <x v="4"/>
    <s v="Nidin"/>
    <m/>
    <m/>
    <m/>
    <m/>
    <m/>
    <n v="160"/>
    <n v="80"/>
    <n v="160"/>
    <n v="80"/>
    <n v="80"/>
    <m/>
    <m/>
    <m/>
    <m/>
    <m/>
    <m/>
    <m/>
    <m/>
    <m/>
    <m/>
    <m/>
    <n v="0"/>
    <n v="0"/>
    <n v="0"/>
    <n v="0"/>
    <n v="0"/>
    <n v="0"/>
    <n v="0"/>
    <n v="0"/>
    <n v="0"/>
    <n v="0"/>
    <n v="0"/>
    <n v="0"/>
    <n v="0"/>
    <n v="0"/>
    <n v="0"/>
    <n v="0"/>
    <s v="MMR012CMP023"/>
    <x v="0"/>
    <m/>
  </r>
  <r>
    <n v="72.433333333333337"/>
    <x v="6"/>
    <x v="236"/>
    <x v="0"/>
    <m/>
    <x v="0"/>
    <x v="4"/>
    <s v="Taung Bwe"/>
    <m/>
    <m/>
    <m/>
    <m/>
    <m/>
    <n v="174"/>
    <m/>
    <n v="174"/>
    <m/>
    <m/>
    <m/>
    <m/>
    <m/>
    <m/>
    <m/>
    <m/>
    <m/>
    <m/>
    <m/>
    <m/>
    <m/>
    <n v="0"/>
    <n v="0"/>
    <n v="0"/>
    <n v="0"/>
    <n v="0"/>
    <n v="0"/>
    <n v="0"/>
    <n v="0"/>
    <n v="0"/>
    <n v="0"/>
    <n v="0"/>
    <n v="0"/>
    <n v="0"/>
    <n v="0"/>
    <n v="0"/>
    <n v="0"/>
    <s v="MMR012CMP021"/>
    <x v="3"/>
    <m/>
  </r>
  <r>
    <n v="72.466666666666669"/>
    <x v="6"/>
    <x v="237"/>
    <x v="0"/>
    <m/>
    <x v="0"/>
    <x v="2"/>
    <s v="Taung Paw "/>
    <m/>
    <m/>
    <m/>
    <m/>
    <m/>
    <n v="632"/>
    <m/>
    <n v="632"/>
    <m/>
    <m/>
    <m/>
    <m/>
    <m/>
    <m/>
    <m/>
    <m/>
    <m/>
    <m/>
    <m/>
    <m/>
    <m/>
    <n v="0"/>
    <n v="0"/>
    <n v="0"/>
    <n v="0"/>
    <n v="0"/>
    <n v="0"/>
    <n v="0"/>
    <n v="0"/>
    <n v="0"/>
    <n v="0"/>
    <n v="0"/>
    <n v="0"/>
    <n v="0"/>
    <n v="0"/>
    <n v="0"/>
    <n v="0"/>
    <s v="MMR012CMP014"/>
    <x v="0"/>
    <m/>
  </r>
  <r>
    <n v="72.466666666666669"/>
    <x v="6"/>
    <x v="237"/>
    <x v="0"/>
    <m/>
    <x v="0"/>
    <x v="6"/>
    <s v="Tha Dar"/>
    <m/>
    <m/>
    <m/>
    <m/>
    <m/>
    <n v="406"/>
    <m/>
    <m/>
    <m/>
    <m/>
    <m/>
    <m/>
    <m/>
    <m/>
    <m/>
    <m/>
    <m/>
    <m/>
    <m/>
    <m/>
    <m/>
    <n v="0"/>
    <n v="0"/>
    <n v="0"/>
    <n v="0"/>
    <n v="0"/>
    <n v="0"/>
    <n v="0"/>
    <n v="0"/>
    <n v="0"/>
    <n v="0"/>
    <n v="0"/>
    <n v="0"/>
    <n v="0"/>
    <n v="0"/>
    <n v="0"/>
    <n v="0"/>
    <s v="MMR012CMP002"/>
    <x v="3"/>
    <m/>
  </r>
  <r>
    <n v="72.5"/>
    <x v="6"/>
    <x v="238"/>
    <x v="24"/>
    <s v="UNHCR"/>
    <x v="0"/>
    <x v="0"/>
    <s v="Hmanzi Junction"/>
    <m/>
    <m/>
    <m/>
    <m/>
    <m/>
    <m/>
    <m/>
    <n v="49"/>
    <m/>
    <m/>
    <m/>
    <m/>
    <m/>
    <m/>
    <m/>
    <m/>
    <m/>
    <m/>
    <m/>
    <m/>
    <m/>
    <n v="0"/>
    <n v="0"/>
    <n v="0"/>
    <n v="0"/>
    <n v="0"/>
    <n v="0"/>
    <n v="0"/>
    <n v="0"/>
    <n v="0"/>
    <n v="0"/>
    <n v="0"/>
    <n v="0"/>
    <n v="0"/>
    <n v="0"/>
    <n v="0"/>
    <n v="0"/>
    <s v="MMR012CMP049"/>
    <x v="4"/>
    <m/>
  </r>
  <r>
    <n v="72.5"/>
    <x v="6"/>
    <x v="238"/>
    <x v="24"/>
    <s v="UNHCR"/>
    <x v="0"/>
    <x v="0"/>
    <s v="Hmanzi Junction"/>
    <m/>
    <m/>
    <m/>
    <m/>
    <m/>
    <m/>
    <m/>
    <n v="11"/>
    <m/>
    <m/>
    <m/>
    <m/>
    <m/>
    <m/>
    <m/>
    <m/>
    <m/>
    <m/>
    <m/>
    <m/>
    <m/>
    <n v="0"/>
    <n v="0"/>
    <n v="0"/>
    <n v="0"/>
    <n v="0"/>
    <n v="0"/>
    <n v="0"/>
    <n v="0"/>
    <n v="0"/>
    <n v="0"/>
    <n v="0"/>
    <n v="0"/>
    <n v="0"/>
    <n v="0"/>
    <n v="0"/>
    <n v="0"/>
    <s v="MMR012CMP049"/>
    <x v="4"/>
    <m/>
  </r>
  <r>
    <n v="72.533333333333331"/>
    <x v="6"/>
    <x v="239"/>
    <x v="0"/>
    <m/>
    <x v="0"/>
    <x v="6"/>
    <s v="Aung Taing"/>
    <m/>
    <m/>
    <m/>
    <m/>
    <m/>
    <n v="172"/>
    <m/>
    <m/>
    <m/>
    <m/>
    <m/>
    <m/>
    <m/>
    <m/>
    <m/>
    <m/>
    <m/>
    <m/>
    <m/>
    <m/>
    <m/>
    <n v="0"/>
    <n v="0"/>
    <n v="0"/>
    <n v="0"/>
    <n v="0"/>
    <n v="0"/>
    <n v="0"/>
    <n v="0"/>
    <n v="0"/>
    <n v="0"/>
    <n v="0"/>
    <n v="0"/>
    <n v="0"/>
    <n v="0"/>
    <n v="0"/>
    <n v="0"/>
    <s v="MMR012CMP006"/>
    <x v="3"/>
    <m/>
  </r>
  <r>
    <n v="72.533333333333331"/>
    <x v="6"/>
    <x v="239"/>
    <x v="0"/>
    <m/>
    <x v="0"/>
    <x v="6"/>
    <s v="Nagara Pauktaw"/>
    <m/>
    <m/>
    <m/>
    <m/>
    <m/>
    <m/>
    <m/>
    <n v="156"/>
    <m/>
    <m/>
    <m/>
    <m/>
    <m/>
    <m/>
    <m/>
    <m/>
    <m/>
    <m/>
    <m/>
    <m/>
    <m/>
    <n v="0"/>
    <n v="0"/>
    <n v="0"/>
    <n v="0"/>
    <n v="0"/>
    <n v="0"/>
    <n v="0"/>
    <n v="0"/>
    <n v="0"/>
    <n v="0"/>
    <n v="0"/>
    <n v="0"/>
    <n v="0"/>
    <n v="0"/>
    <n v="0"/>
    <n v="0"/>
    <s v="MMR012CMP004"/>
    <x v="4"/>
    <m/>
  </r>
  <r>
    <n v="72.533333333333331"/>
    <x v="6"/>
    <x v="239"/>
    <x v="0"/>
    <m/>
    <x v="0"/>
    <x v="7"/>
    <s v="Pa Rein"/>
    <m/>
    <m/>
    <m/>
    <m/>
    <m/>
    <n v="240"/>
    <m/>
    <m/>
    <m/>
    <m/>
    <m/>
    <m/>
    <m/>
    <m/>
    <m/>
    <m/>
    <m/>
    <m/>
    <m/>
    <m/>
    <m/>
    <n v="0"/>
    <n v="0"/>
    <n v="0"/>
    <n v="0"/>
    <n v="0"/>
    <n v="0"/>
    <n v="0"/>
    <n v="0"/>
    <n v="0"/>
    <n v="0"/>
    <n v="0"/>
    <n v="0"/>
    <n v="0"/>
    <n v="0"/>
    <n v="0"/>
    <n v="0"/>
    <s v="MMR012CMP009"/>
    <x v="3"/>
    <m/>
  </r>
  <r>
    <n v="72.533333333333331"/>
    <x v="6"/>
    <x v="239"/>
    <x v="0"/>
    <m/>
    <x v="0"/>
    <x v="6"/>
    <s v="Sam Ba Le"/>
    <m/>
    <m/>
    <m/>
    <m/>
    <m/>
    <n v="200"/>
    <m/>
    <m/>
    <m/>
    <m/>
    <m/>
    <m/>
    <m/>
    <m/>
    <m/>
    <m/>
    <m/>
    <m/>
    <m/>
    <m/>
    <m/>
    <n v="0"/>
    <n v="0"/>
    <n v="0"/>
    <n v="0"/>
    <n v="0"/>
    <n v="0"/>
    <n v="0"/>
    <n v="0"/>
    <n v="0"/>
    <n v="0"/>
    <n v="0"/>
    <n v="0"/>
    <n v="0"/>
    <n v="0"/>
    <n v="0"/>
    <n v="0"/>
    <s v="MMR012CMP008"/>
    <x v="3"/>
    <m/>
  </r>
  <r>
    <n v="72.533333333333331"/>
    <x v="6"/>
    <x v="239"/>
    <x v="0"/>
    <m/>
    <x v="0"/>
    <x v="6"/>
    <s v="San Htoe Tan"/>
    <m/>
    <m/>
    <m/>
    <m/>
    <m/>
    <m/>
    <m/>
    <m/>
    <n v="86"/>
    <m/>
    <m/>
    <m/>
    <m/>
    <m/>
    <m/>
    <m/>
    <m/>
    <m/>
    <m/>
    <m/>
    <m/>
    <n v="0"/>
    <n v="0"/>
    <n v="0"/>
    <n v="0"/>
    <n v="0"/>
    <n v="0"/>
    <n v="0"/>
    <n v="0"/>
    <n v="0"/>
    <n v="0"/>
    <n v="0"/>
    <n v="0"/>
    <n v="0"/>
    <n v="0"/>
    <n v="0"/>
    <n v="0"/>
    <s v="MMR012CMP003"/>
    <x v="3"/>
    <m/>
  </r>
  <r>
    <n v="72.533333333333331"/>
    <x v="6"/>
    <x v="239"/>
    <x v="0"/>
    <m/>
    <x v="0"/>
    <x v="6"/>
    <s v="Tha Dar"/>
    <m/>
    <m/>
    <m/>
    <m/>
    <m/>
    <m/>
    <m/>
    <n v="406"/>
    <m/>
    <m/>
    <m/>
    <m/>
    <m/>
    <m/>
    <m/>
    <m/>
    <m/>
    <m/>
    <m/>
    <m/>
    <m/>
    <n v="0"/>
    <n v="0"/>
    <n v="0"/>
    <n v="0"/>
    <n v="0"/>
    <n v="0"/>
    <n v="0"/>
    <n v="0"/>
    <n v="0"/>
    <n v="0"/>
    <n v="0"/>
    <n v="0"/>
    <n v="0"/>
    <n v="0"/>
    <n v="0"/>
    <n v="0"/>
    <s v="MMR012CMP002"/>
    <x v="3"/>
    <m/>
  </r>
  <r>
    <n v="72.566666666666663"/>
    <x v="6"/>
    <x v="240"/>
    <x v="24"/>
    <s v="UNHCR"/>
    <x v="0"/>
    <x v="0"/>
    <s v="Hmanzi Junction"/>
    <m/>
    <m/>
    <m/>
    <m/>
    <m/>
    <m/>
    <m/>
    <n v="55"/>
    <m/>
    <m/>
    <m/>
    <m/>
    <m/>
    <m/>
    <m/>
    <m/>
    <m/>
    <m/>
    <m/>
    <m/>
    <m/>
    <n v="0"/>
    <n v="0"/>
    <n v="0"/>
    <n v="0"/>
    <n v="0"/>
    <n v="0"/>
    <n v="0"/>
    <n v="0"/>
    <n v="0"/>
    <n v="0"/>
    <n v="0"/>
    <n v="0"/>
    <n v="0"/>
    <n v="0"/>
    <n v="0"/>
    <n v="0"/>
    <s v="MMR012CMP049"/>
    <x v="4"/>
    <m/>
  </r>
  <r>
    <n v="72.599999999999994"/>
    <x v="6"/>
    <x v="241"/>
    <x v="0"/>
    <m/>
    <x v="0"/>
    <x v="4"/>
    <s v="Ah Lel Kyun"/>
    <m/>
    <m/>
    <m/>
    <m/>
    <m/>
    <n v="180"/>
    <m/>
    <n v="180"/>
    <n v="90"/>
    <m/>
    <m/>
    <m/>
    <m/>
    <m/>
    <m/>
    <m/>
    <m/>
    <m/>
    <m/>
    <m/>
    <m/>
    <n v="0"/>
    <n v="0"/>
    <n v="0"/>
    <n v="0"/>
    <n v="0"/>
    <n v="0"/>
    <n v="0"/>
    <n v="0"/>
    <n v="0"/>
    <n v="0"/>
    <n v="0"/>
    <n v="0"/>
    <n v="0"/>
    <n v="0"/>
    <n v="0"/>
    <n v="0"/>
    <s v="MMR012CMP025"/>
    <x v="3"/>
    <m/>
  </r>
  <r>
    <n v="72.599999999999994"/>
    <x v="6"/>
    <x v="241"/>
    <x v="0"/>
    <m/>
    <x v="0"/>
    <x v="4"/>
    <s v="Ah Pauk Wa "/>
    <m/>
    <m/>
    <m/>
    <m/>
    <m/>
    <m/>
    <m/>
    <m/>
    <m/>
    <n v="90"/>
    <m/>
    <m/>
    <m/>
    <m/>
    <m/>
    <m/>
    <m/>
    <m/>
    <m/>
    <m/>
    <m/>
    <n v="0"/>
    <n v="0"/>
    <n v="0"/>
    <n v="0"/>
    <n v="0"/>
    <n v="0"/>
    <n v="0"/>
    <n v="0"/>
    <n v="0"/>
    <n v="0"/>
    <n v="0"/>
    <n v="0"/>
    <n v="0"/>
    <n v="0"/>
    <n v="0"/>
    <n v="0"/>
    <s v="MMR012CMP024"/>
    <x v="3"/>
    <m/>
  </r>
  <r>
    <n v="72.599999999999994"/>
    <x v="6"/>
    <x v="241"/>
    <x v="0"/>
    <m/>
    <x v="0"/>
    <x v="0"/>
    <s v="Basare"/>
    <m/>
    <m/>
    <m/>
    <m/>
    <n v="302"/>
    <m/>
    <m/>
    <m/>
    <m/>
    <m/>
    <m/>
    <m/>
    <m/>
    <m/>
    <m/>
    <m/>
    <m/>
    <m/>
    <m/>
    <m/>
    <m/>
    <n v="0"/>
    <n v="0"/>
    <n v="0"/>
    <n v="0"/>
    <n v="0"/>
    <n v="0"/>
    <n v="0"/>
    <n v="0"/>
    <n v="0"/>
    <n v="0"/>
    <n v="0"/>
    <n v="0"/>
    <n v="0"/>
    <n v="0"/>
    <n v="0"/>
    <n v="0"/>
    <s v="MMR012CMP039"/>
    <x v="0"/>
    <m/>
  </r>
  <r>
    <n v="72.599999999999994"/>
    <x v="6"/>
    <x v="241"/>
    <x v="0"/>
    <m/>
    <x v="0"/>
    <x v="0"/>
    <s v="Baw Du Pha"/>
    <m/>
    <m/>
    <m/>
    <m/>
    <n v="2142"/>
    <m/>
    <m/>
    <m/>
    <m/>
    <m/>
    <m/>
    <m/>
    <m/>
    <m/>
    <m/>
    <m/>
    <m/>
    <m/>
    <m/>
    <m/>
    <m/>
    <n v="0"/>
    <n v="0"/>
    <n v="0"/>
    <n v="0"/>
    <n v="0"/>
    <n v="0"/>
    <n v="0"/>
    <n v="0"/>
    <n v="0"/>
    <n v="0"/>
    <n v="0"/>
    <n v="0"/>
    <n v="0"/>
    <n v="0"/>
    <n v="0"/>
    <n v="0"/>
    <s v="MMR012CMP040"/>
    <x v="4"/>
    <m/>
  </r>
  <r>
    <n v="72.599999999999994"/>
    <x v="6"/>
    <x v="241"/>
    <x v="0"/>
    <m/>
    <x v="0"/>
    <x v="0"/>
    <s v="Dar Pai"/>
    <m/>
    <m/>
    <m/>
    <m/>
    <n v="1707"/>
    <m/>
    <m/>
    <m/>
    <m/>
    <m/>
    <m/>
    <m/>
    <m/>
    <m/>
    <m/>
    <m/>
    <m/>
    <m/>
    <m/>
    <m/>
    <m/>
    <n v="0"/>
    <n v="0"/>
    <n v="0"/>
    <n v="0"/>
    <n v="0"/>
    <n v="0"/>
    <n v="0"/>
    <n v="0"/>
    <n v="0"/>
    <n v="0"/>
    <n v="0"/>
    <n v="0"/>
    <n v="0"/>
    <n v="0"/>
    <n v="0"/>
    <n v="0"/>
    <s v="MMR012CMP041"/>
    <x v="0"/>
    <m/>
  </r>
  <r>
    <n v="72.599999999999994"/>
    <x v="6"/>
    <x v="241"/>
    <x v="0"/>
    <m/>
    <x v="0"/>
    <x v="4"/>
    <s v="Goke Pi Htaunt"/>
    <m/>
    <m/>
    <m/>
    <m/>
    <m/>
    <n v="232"/>
    <m/>
    <n v="232"/>
    <n v="105"/>
    <n v="116"/>
    <m/>
    <m/>
    <m/>
    <m/>
    <m/>
    <m/>
    <m/>
    <m/>
    <m/>
    <m/>
    <m/>
    <n v="0"/>
    <n v="0"/>
    <n v="0"/>
    <n v="0"/>
    <n v="0"/>
    <n v="0"/>
    <n v="0"/>
    <n v="0"/>
    <n v="0"/>
    <n v="0"/>
    <n v="0"/>
    <n v="0"/>
    <n v="0"/>
    <n v="0"/>
    <n v="0"/>
    <n v="0"/>
    <s v="MMR012CMP027"/>
    <x v="3"/>
    <m/>
  </r>
  <r>
    <n v="72.599999999999994"/>
    <x v="6"/>
    <x v="241"/>
    <x v="0"/>
    <m/>
    <x v="0"/>
    <x v="4"/>
    <s v="In Bar Yi"/>
    <m/>
    <m/>
    <m/>
    <m/>
    <m/>
    <n v="460"/>
    <m/>
    <n v="460"/>
    <n v="145"/>
    <m/>
    <m/>
    <m/>
    <m/>
    <m/>
    <m/>
    <m/>
    <m/>
    <m/>
    <m/>
    <m/>
    <m/>
    <n v="0"/>
    <n v="0"/>
    <n v="0"/>
    <n v="0"/>
    <n v="0"/>
    <n v="0"/>
    <n v="0"/>
    <n v="0"/>
    <n v="0"/>
    <n v="0"/>
    <n v="0"/>
    <n v="0"/>
    <n v="0"/>
    <n v="0"/>
    <n v="0"/>
    <n v="0"/>
    <s v="MMR012CMP026"/>
    <x v="3"/>
    <m/>
  </r>
  <r>
    <n v="72.599999999999994"/>
    <x v="6"/>
    <x v="241"/>
    <x v="0"/>
    <m/>
    <x v="0"/>
    <x v="0"/>
    <s v="Khaung Doke Khar "/>
    <m/>
    <m/>
    <m/>
    <m/>
    <n v="310"/>
    <m/>
    <m/>
    <m/>
    <m/>
    <m/>
    <m/>
    <m/>
    <m/>
    <m/>
    <m/>
    <m/>
    <m/>
    <m/>
    <m/>
    <m/>
    <m/>
    <n v="0"/>
    <n v="0"/>
    <n v="0"/>
    <n v="0"/>
    <n v="0"/>
    <n v="0"/>
    <n v="0"/>
    <n v="0"/>
    <n v="0"/>
    <n v="0"/>
    <n v="0"/>
    <n v="0"/>
    <n v="0"/>
    <n v="0"/>
    <n v="0"/>
    <n v="0"/>
    <s v=""/>
    <x v="1"/>
    <m/>
  </r>
  <r>
    <n v="72.599999999999994"/>
    <x v="6"/>
    <x v="241"/>
    <x v="0"/>
    <m/>
    <x v="0"/>
    <x v="4"/>
    <s v="Let Saung Kauk"/>
    <m/>
    <m/>
    <m/>
    <m/>
    <m/>
    <n v="36"/>
    <m/>
    <n v="36"/>
    <n v="18"/>
    <n v="18"/>
    <m/>
    <m/>
    <m/>
    <m/>
    <m/>
    <m/>
    <m/>
    <m/>
    <m/>
    <m/>
    <m/>
    <n v="0"/>
    <n v="0"/>
    <n v="0"/>
    <n v="0"/>
    <n v="0"/>
    <n v="0"/>
    <n v="0"/>
    <n v="0"/>
    <n v="0"/>
    <n v="0"/>
    <n v="0"/>
    <n v="0"/>
    <n v="0"/>
    <n v="0"/>
    <n v="0"/>
    <n v="0"/>
    <s v="MMR012CMP020"/>
    <x v="3"/>
    <m/>
  </r>
  <r>
    <n v="72.599999999999994"/>
    <x v="6"/>
    <x v="241"/>
    <x v="0"/>
    <m/>
    <x v="0"/>
    <x v="0"/>
    <s v="Ohn Taw Gyi 1"/>
    <m/>
    <m/>
    <m/>
    <m/>
    <n v="65"/>
    <m/>
    <m/>
    <m/>
    <m/>
    <m/>
    <m/>
    <m/>
    <m/>
    <m/>
    <m/>
    <m/>
    <m/>
    <m/>
    <m/>
    <m/>
    <m/>
    <n v="0"/>
    <n v="0"/>
    <n v="0"/>
    <n v="0"/>
    <n v="0"/>
    <n v="0"/>
    <n v="0"/>
    <n v="0"/>
    <n v="0"/>
    <n v="0"/>
    <n v="0"/>
    <n v="0"/>
    <n v="0"/>
    <n v="0"/>
    <n v="0"/>
    <n v="0"/>
    <s v="MMR012CMP043"/>
    <x v="4"/>
    <m/>
  </r>
  <r>
    <n v="72.599999999999994"/>
    <x v="6"/>
    <x v="241"/>
    <x v="0"/>
    <m/>
    <x v="0"/>
    <x v="6"/>
    <s v="Paik Thay"/>
    <m/>
    <m/>
    <m/>
    <m/>
    <m/>
    <n v="38"/>
    <m/>
    <n v="38"/>
    <n v="19"/>
    <m/>
    <m/>
    <m/>
    <m/>
    <m/>
    <m/>
    <m/>
    <m/>
    <m/>
    <m/>
    <m/>
    <m/>
    <n v="0"/>
    <n v="0"/>
    <n v="0"/>
    <n v="0"/>
    <n v="0"/>
    <n v="0"/>
    <n v="0"/>
    <n v="0"/>
    <n v="0"/>
    <n v="0"/>
    <n v="0"/>
    <n v="0"/>
    <n v="0"/>
    <n v="0"/>
    <n v="0"/>
    <n v="0"/>
    <s v="MMR012CMP001"/>
    <x v="3"/>
    <m/>
  </r>
  <r>
    <n v="72.599999999999994"/>
    <x v="6"/>
    <x v="241"/>
    <x v="0"/>
    <m/>
    <x v="0"/>
    <x v="0"/>
    <s v="Phwe Yar Kone"/>
    <m/>
    <m/>
    <m/>
    <m/>
    <n v="374"/>
    <m/>
    <m/>
    <m/>
    <m/>
    <m/>
    <m/>
    <m/>
    <m/>
    <m/>
    <m/>
    <m/>
    <m/>
    <m/>
    <m/>
    <m/>
    <m/>
    <n v="0"/>
    <n v="0"/>
    <n v="0"/>
    <n v="0"/>
    <n v="0"/>
    <n v="0"/>
    <n v="0"/>
    <n v="0"/>
    <n v="0"/>
    <n v="0"/>
    <n v="0"/>
    <n v="0"/>
    <n v="0"/>
    <n v="0"/>
    <n v="0"/>
    <n v="0"/>
    <s v="MMR012CMP044"/>
    <x v="4"/>
    <m/>
  </r>
  <r>
    <n v="72.599999999999994"/>
    <x v="6"/>
    <x v="241"/>
    <x v="0"/>
    <m/>
    <x v="0"/>
    <x v="0"/>
    <s v="Say Tha Mar Gyi"/>
    <m/>
    <m/>
    <m/>
    <m/>
    <n v="1460"/>
    <m/>
    <m/>
    <m/>
    <m/>
    <m/>
    <m/>
    <m/>
    <m/>
    <m/>
    <m/>
    <m/>
    <m/>
    <m/>
    <m/>
    <m/>
    <m/>
    <n v="0"/>
    <n v="0"/>
    <n v="0"/>
    <n v="0"/>
    <n v="0"/>
    <n v="0"/>
    <n v="0"/>
    <n v="0"/>
    <n v="0"/>
    <n v="0"/>
    <n v="0"/>
    <n v="0"/>
    <n v="0"/>
    <n v="0"/>
    <n v="0"/>
    <n v="0"/>
    <s v="MMR012CMP045"/>
    <x v="0"/>
    <m/>
  </r>
  <r>
    <n v="72.599999999999994"/>
    <x v="6"/>
    <x v="241"/>
    <x v="0"/>
    <m/>
    <x v="0"/>
    <x v="4"/>
    <s v="Shwe Hlaing"/>
    <m/>
    <m/>
    <m/>
    <m/>
    <m/>
    <n v="290"/>
    <m/>
    <m/>
    <m/>
    <m/>
    <m/>
    <m/>
    <m/>
    <m/>
    <m/>
    <m/>
    <m/>
    <m/>
    <m/>
    <m/>
    <m/>
    <n v="0"/>
    <n v="0"/>
    <n v="0"/>
    <n v="0"/>
    <n v="0"/>
    <n v="0"/>
    <n v="0"/>
    <n v="0"/>
    <n v="0"/>
    <n v="0"/>
    <n v="0"/>
    <n v="0"/>
    <n v="0"/>
    <n v="0"/>
    <n v="0"/>
    <n v="0"/>
    <s v="MMR012CMP029"/>
    <x v="3"/>
    <m/>
  </r>
  <r>
    <n v="72.599999999999994"/>
    <x v="6"/>
    <x v="241"/>
    <x v="0"/>
    <m/>
    <x v="0"/>
    <x v="4"/>
    <s v="Taung Bwe"/>
    <m/>
    <m/>
    <m/>
    <m/>
    <m/>
    <m/>
    <m/>
    <m/>
    <n v="87"/>
    <m/>
    <m/>
    <m/>
    <m/>
    <m/>
    <m/>
    <m/>
    <m/>
    <m/>
    <m/>
    <m/>
    <m/>
    <n v="0"/>
    <n v="0"/>
    <n v="0"/>
    <n v="0"/>
    <n v="0"/>
    <n v="0"/>
    <n v="0"/>
    <n v="0"/>
    <n v="0"/>
    <n v="0"/>
    <n v="0"/>
    <n v="0"/>
    <n v="0"/>
    <n v="0"/>
    <n v="0"/>
    <n v="0"/>
    <s v="MMR012CMP021"/>
    <x v="3"/>
    <m/>
  </r>
  <r>
    <n v="72.599999999999994"/>
    <x v="6"/>
    <x v="241"/>
    <x v="0"/>
    <m/>
    <x v="0"/>
    <x v="6"/>
    <s v="Tha Dar"/>
    <m/>
    <m/>
    <m/>
    <m/>
    <m/>
    <m/>
    <m/>
    <m/>
    <n v="203"/>
    <m/>
    <m/>
    <m/>
    <m/>
    <m/>
    <m/>
    <m/>
    <m/>
    <m/>
    <m/>
    <m/>
    <m/>
    <n v="0"/>
    <n v="0"/>
    <n v="0"/>
    <n v="0"/>
    <n v="0"/>
    <n v="0"/>
    <n v="0"/>
    <n v="0"/>
    <n v="0"/>
    <n v="0"/>
    <n v="0"/>
    <n v="0"/>
    <n v="0"/>
    <n v="0"/>
    <n v="0"/>
    <n v="0"/>
    <s v="MMR012CMP002"/>
    <x v="3"/>
    <m/>
  </r>
  <r>
    <n v="72.599999999999994"/>
    <x v="6"/>
    <x v="241"/>
    <x v="0"/>
    <m/>
    <x v="0"/>
    <x v="0"/>
    <s v="Thae Chaung"/>
    <m/>
    <m/>
    <m/>
    <m/>
    <n v="2813"/>
    <m/>
    <m/>
    <m/>
    <m/>
    <m/>
    <m/>
    <m/>
    <m/>
    <m/>
    <m/>
    <m/>
    <m/>
    <m/>
    <m/>
    <m/>
    <m/>
    <n v="0"/>
    <n v="0"/>
    <n v="0"/>
    <n v="0"/>
    <n v="0"/>
    <n v="0"/>
    <n v="0"/>
    <n v="0"/>
    <n v="0"/>
    <n v="0"/>
    <n v="0"/>
    <n v="0"/>
    <n v="0"/>
    <n v="0"/>
    <n v="0"/>
    <n v="0"/>
    <s v="MMR012CMP046"/>
    <x v="0"/>
    <m/>
  </r>
  <r>
    <n v="72.599999999999994"/>
    <x v="6"/>
    <x v="241"/>
    <x v="0"/>
    <m/>
    <x v="0"/>
    <x v="0"/>
    <s v="Thet Kae Pyin "/>
    <m/>
    <m/>
    <m/>
    <m/>
    <n v="1900"/>
    <m/>
    <m/>
    <m/>
    <m/>
    <m/>
    <m/>
    <m/>
    <m/>
    <m/>
    <m/>
    <m/>
    <m/>
    <m/>
    <m/>
    <m/>
    <m/>
    <n v="0"/>
    <n v="0"/>
    <n v="0"/>
    <n v="0"/>
    <n v="0"/>
    <n v="0"/>
    <n v="0"/>
    <n v="0"/>
    <n v="0"/>
    <n v="0"/>
    <n v="0"/>
    <n v="0"/>
    <n v="0"/>
    <n v="0"/>
    <n v="0"/>
    <n v="0"/>
    <s v="MMR012CMP048"/>
    <x v="0"/>
    <m/>
  </r>
  <r>
    <n v="72.599999999999994"/>
    <x v="6"/>
    <x v="241"/>
    <x v="0"/>
    <m/>
    <x v="0"/>
    <x v="4"/>
    <s v="Yun Nyar"/>
    <m/>
    <m/>
    <m/>
    <m/>
    <m/>
    <n v="214"/>
    <m/>
    <n v="214"/>
    <n v="107"/>
    <n v="107"/>
    <m/>
    <m/>
    <m/>
    <m/>
    <m/>
    <m/>
    <m/>
    <m/>
    <m/>
    <m/>
    <m/>
    <n v="0"/>
    <n v="0"/>
    <n v="0"/>
    <n v="0"/>
    <n v="0"/>
    <n v="0"/>
    <n v="0"/>
    <n v="0"/>
    <n v="0"/>
    <n v="0"/>
    <n v="0"/>
    <n v="0"/>
    <n v="0"/>
    <n v="0"/>
    <n v="0"/>
    <n v="0"/>
    <s v="MMR012CMP028"/>
    <x v="3"/>
    <m/>
  </r>
  <r>
    <n v="72.63333333333334"/>
    <x v="6"/>
    <x v="242"/>
    <x v="24"/>
    <s v="UNHCR"/>
    <x v="0"/>
    <x v="0"/>
    <s v="Hmanzi Junction"/>
    <m/>
    <m/>
    <m/>
    <m/>
    <m/>
    <m/>
    <m/>
    <n v="50"/>
    <m/>
    <m/>
    <m/>
    <m/>
    <m/>
    <m/>
    <m/>
    <m/>
    <m/>
    <m/>
    <m/>
    <m/>
    <m/>
    <n v="0"/>
    <n v="0"/>
    <n v="0"/>
    <n v="0"/>
    <n v="0"/>
    <n v="0"/>
    <n v="0"/>
    <n v="0"/>
    <n v="0"/>
    <n v="0"/>
    <n v="0"/>
    <n v="0"/>
    <n v="0"/>
    <n v="0"/>
    <n v="0"/>
    <n v="0"/>
    <s v="MMR012CMP049"/>
    <x v="4"/>
    <m/>
  </r>
  <r>
    <n v="72.63333333333334"/>
    <x v="6"/>
    <x v="242"/>
    <x v="0"/>
    <m/>
    <x v="0"/>
    <x v="0"/>
    <s v="Ma Gyi Myaing"/>
    <m/>
    <m/>
    <m/>
    <m/>
    <n v="85"/>
    <m/>
    <m/>
    <m/>
    <m/>
    <m/>
    <m/>
    <m/>
    <m/>
    <m/>
    <m/>
    <m/>
    <m/>
    <m/>
    <m/>
    <m/>
    <m/>
    <n v="0"/>
    <n v="0"/>
    <n v="0"/>
    <n v="0"/>
    <n v="0"/>
    <n v="0"/>
    <n v="0"/>
    <n v="0"/>
    <n v="0"/>
    <n v="0"/>
    <n v="0"/>
    <n v="0"/>
    <n v="0"/>
    <n v="0"/>
    <n v="0"/>
    <n v="0"/>
    <s v="MMR012CMP053"/>
    <x v="4"/>
    <m/>
  </r>
  <r>
    <n v="72.63333333333334"/>
    <x v="6"/>
    <x v="242"/>
    <x v="0"/>
    <m/>
    <x v="0"/>
    <x v="0"/>
    <s v="Mingan"/>
    <m/>
    <m/>
    <m/>
    <m/>
    <n v="53"/>
    <m/>
    <m/>
    <m/>
    <m/>
    <m/>
    <m/>
    <m/>
    <m/>
    <m/>
    <m/>
    <m/>
    <m/>
    <m/>
    <m/>
    <m/>
    <m/>
    <n v="0"/>
    <n v="0"/>
    <n v="0"/>
    <n v="0"/>
    <n v="0"/>
    <n v="0"/>
    <n v="0"/>
    <n v="0"/>
    <n v="0"/>
    <n v="0"/>
    <n v="0"/>
    <n v="0"/>
    <n v="0"/>
    <n v="0"/>
    <n v="0"/>
    <n v="0"/>
    <s v="MMR012CMP093"/>
    <x v="2"/>
    <m/>
  </r>
  <r>
    <n v="72.63333333333334"/>
    <x v="6"/>
    <x v="242"/>
    <x v="0"/>
    <m/>
    <x v="0"/>
    <x v="0"/>
    <s v="Set Yone Su"/>
    <m/>
    <m/>
    <m/>
    <m/>
    <n v="195"/>
    <m/>
    <m/>
    <m/>
    <m/>
    <m/>
    <m/>
    <m/>
    <m/>
    <m/>
    <m/>
    <m/>
    <m/>
    <m/>
    <m/>
    <m/>
    <m/>
    <n v="0"/>
    <n v="0"/>
    <n v="0"/>
    <n v="0"/>
    <n v="0"/>
    <n v="0"/>
    <n v="0"/>
    <n v="0"/>
    <n v="0"/>
    <n v="0"/>
    <n v="0"/>
    <n v="0"/>
    <n v="0"/>
    <n v="0"/>
    <n v="0"/>
    <n v="0"/>
    <s v="MMR012CMP056"/>
    <x v="2"/>
    <m/>
  </r>
  <r>
    <n v="72.7"/>
    <x v="6"/>
    <x v="243"/>
    <x v="0"/>
    <m/>
    <x v="0"/>
    <x v="5"/>
    <s v="Ka Nyin Taw"/>
    <m/>
    <m/>
    <m/>
    <m/>
    <m/>
    <n v="170"/>
    <n v="85"/>
    <n v="170"/>
    <n v="85"/>
    <m/>
    <m/>
    <m/>
    <m/>
    <m/>
    <m/>
    <m/>
    <m/>
    <m/>
    <m/>
    <m/>
    <m/>
    <n v="0"/>
    <n v="0"/>
    <n v="0"/>
    <n v="0"/>
    <n v="0"/>
    <n v="0"/>
    <n v="0"/>
    <n v="0"/>
    <n v="0"/>
    <n v="0"/>
    <n v="0"/>
    <n v="0"/>
    <n v="0"/>
    <n v="0"/>
    <n v="0"/>
    <n v="0"/>
    <s v="MMR012CMP036"/>
    <x v="2"/>
    <m/>
  </r>
  <r>
    <n v="72.7"/>
    <x v="6"/>
    <x v="243"/>
    <x v="0"/>
    <m/>
    <x v="0"/>
    <x v="5"/>
    <s v="Kyauk Ta Lone"/>
    <m/>
    <m/>
    <m/>
    <m/>
    <m/>
    <n v="826"/>
    <n v="213"/>
    <n v="826"/>
    <n v="413"/>
    <m/>
    <m/>
    <m/>
    <m/>
    <m/>
    <m/>
    <m/>
    <m/>
    <m/>
    <m/>
    <m/>
    <m/>
    <n v="0"/>
    <n v="0"/>
    <n v="0"/>
    <n v="0"/>
    <n v="0"/>
    <n v="0"/>
    <n v="0"/>
    <n v="0"/>
    <n v="0"/>
    <n v="0"/>
    <n v="0"/>
    <n v="0"/>
    <n v="0"/>
    <n v="0"/>
    <n v="0"/>
    <n v="0"/>
    <s v="MMR012CMP035"/>
    <x v="0"/>
    <m/>
  </r>
  <r>
    <n v="72.86666666666666"/>
    <x v="6"/>
    <x v="244"/>
    <x v="24"/>
    <s v="UNHCR"/>
    <x v="0"/>
    <x v="0"/>
    <s v="Hmanzi Junction"/>
    <m/>
    <m/>
    <m/>
    <m/>
    <m/>
    <m/>
    <m/>
    <n v="50"/>
    <m/>
    <m/>
    <m/>
    <m/>
    <m/>
    <m/>
    <m/>
    <m/>
    <m/>
    <m/>
    <m/>
    <m/>
    <m/>
    <n v="0"/>
    <n v="0"/>
    <n v="0"/>
    <n v="0"/>
    <n v="0"/>
    <n v="0"/>
    <n v="0"/>
    <n v="0"/>
    <n v="0"/>
    <n v="0"/>
    <n v="0"/>
    <n v="0"/>
    <n v="0"/>
    <n v="0"/>
    <n v="0"/>
    <n v="0"/>
    <s v="MMR012CMP049"/>
    <x v="4"/>
    <m/>
  </r>
  <r>
    <n v="72.933333333333337"/>
    <x v="6"/>
    <x v="245"/>
    <x v="24"/>
    <s v="UNHCR"/>
    <x v="0"/>
    <x v="0"/>
    <s v="Thet Kae Pyin "/>
    <m/>
    <m/>
    <m/>
    <m/>
    <m/>
    <m/>
    <m/>
    <n v="92"/>
    <m/>
    <m/>
    <m/>
    <m/>
    <m/>
    <m/>
    <m/>
    <m/>
    <m/>
    <m/>
    <m/>
    <m/>
    <m/>
    <n v="0"/>
    <n v="0"/>
    <n v="0"/>
    <n v="0"/>
    <n v="0"/>
    <n v="0"/>
    <n v="0"/>
    <n v="0"/>
    <n v="0"/>
    <n v="0"/>
    <n v="0"/>
    <n v="0"/>
    <n v="0"/>
    <n v="0"/>
    <n v="0"/>
    <n v="0"/>
    <s v="MMR012CMP048"/>
    <x v="0"/>
    <m/>
  </r>
  <r>
    <n v="73.033333333333331"/>
    <x v="6"/>
    <x v="246"/>
    <x v="0"/>
    <m/>
    <x v="0"/>
    <x v="6"/>
    <s v="Aung Taing"/>
    <m/>
    <m/>
    <m/>
    <m/>
    <m/>
    <m/>
    <m/>
    <n v="172"/>
    <n v="46"/>
    <m/>
    <m/>
    <m/>
    <m/>
    <m/>
    <m/>
    <m/>
    <m/>
    <m/>
    <m/>
    <m/>
    <m/>
    <n v="0"/>
    <n v="0"/>
    <n v="0"/>
    <n v="0"/>
    <n v="0"/>
    <n v="0"/>
    <n v="0"/>
    <n v="0"/>
    <n v="0"/>
    <n v="0"/>
    <n v="0"/>
    <n v="0"/>
    <n v="0"/>
    <n v="0"/>
    <n v="0"/>
    <n v="0"/>
    <s v="MMR012CMP006"/>
    <x v="3"/>
    <m/>
  </r>
  <r>
    <n v="73.033333333333331"/>
    <x v="6"/>
    <x v="246"/>
    <x v="0"/>
    <m/>
    <x v="0"/>
    <x v="0"/>
    <s v="Bu May Ohn Taw"/>
    <m/>
    <m/>
    <m/>
    <m/>
    <m/>
    <m/>
    <n v="130"/>
    <m/>
    <m/>
    <m/>
    <m/>
    <m/>
    <m/>
    <m/>
    <m/>
    <m/>
    <m/>
    <m/>
    <m/>
    <m/>
    <m/>
    <n v="0"/>
    <n v="0"/>
    <n v="0"/>
    <n v="0"/>
    <n v="0"/>
    <n v="0"/>
    <n v="0"/>
    <n v="0"/>
    <n v="0"/>
    <n v="0"/>
    <n v="0"/>
    <n v="0"/>
    <n v="0"/>
    <n v="0"/>
    <n v="0"/>
    <n v="0"/>
    <s v="MMR012CMP051"/>
    <x v="4"/>
    <m/>
  </r>
  <r>
    <n v="73.033333333333331"/>
    <x v="6"/>
    <x v="246"/>
    <x v="0"/>
    <m/>
    <x v="0"/>
    <x v="0"/>
    <s v="Bu May Ohn Taw"/>
    <m/>
    <m/>
    <m/>
    <m/>
    <m/>
    <m/>
    <n v="314"/>
    <m/>
    <m/>
    <m/>
    <m/>
    <m/>
    <m/>
    <m/>
    <m/>
    <m/>
    <m/>
    <m/>
    <m/>
    <m/>
    <m/>
    <n v="0"/>
    <n v="0"/>
    <n v="0"/>
    <n v="0"/>
    <n v="0"/>
    <n v="0"/>
    <n v="0"/>
    <n v="0"/>
    <n v="0"/>
    <n v="0"/>
    <n v="0"/>
    <n v="0"/>
    <n v="0"/>
    <n v="0"/>
    <n v="0"/>
    <n v="0"/>
    <s v="MMR012CMP051"/>
    <x v="4"/>
    <m/>
  </r>
  <r>
    <n v="73.033333333333331"/>
    <x v="6"/>
    <x v="246"/>
    <x v="0"/>
    <m/>
    <x v="0"/>
    <x v="2"/>
    <s v="Kan Thar Htwat Wa"/>
    <m/>
    <m/>
    <m/>
    <m/>
    <m/>
    <n v="88"/>
    <n v="44"/>
    <n v="88"/>
    <n v="44"/>
    <n v="44"/>
    <m/>
    <m/>
    <m/>
    <m/>
    <m/>
    <m/>
    <m/>
    <m/>
    <m/>
    <m/>
    <m/>
    <n v="0"/>
    <n v="0"/>
    <n v="0"/>
    <n v="0"/>
    <n v="0"/>
    <n v="0"/>
    <n v="0"/>
    <n v="0"/>
    <n v="0"/>
    <n v="0"/>
    <n v="0"/>
    <n v="0"/>
    <n v="0"/>
    <n v="0"/>
    <n v="0"/>
    <n v="0"/>
    <s v="MMR012CMP013"/>
    <x v="2"/>
    <m/>
  </r>
  <r>
    <n v="73.033333333333331"/>
    <x v="6"/>
    <x v="246"/>
    <x v="0"/>
    <m/>
    <x v="0"/>
    <x v="0"/>
    <s v="Pa Lin Pyin Ywar Thit"/>
    <m/>
    <m/>
    <m/>
    <m/>
    <m/>
    <m/>
    <n v="822"/>
    <m/>
    <m/>
    <m/>
    <m/>
    <m/>
    <m/>
    <m/>
    <m/>
    <m/>
    <m/>
    <m/>
    <m/>
    <m/>
    <m/>
    <n v="0"/>
    <n v="0"/>
    <n v="0"/>
    <n v="0"/>
    <n v="0"/>
    <n v="0"/>
    <n v="0"/>
    <n v="0"/>
    <n v="0"/>
    <n v="0"/>
    <n v="0"/>
    <n v="0"/>
    <n v="0"/>
    <n v="0"/>
    <n v="0"/>
    <n v="0"/>
    <s v="MMR012CMP050"/>
    <x v="4"/>
    <m/>
  </r>
  <r>
    <n v="73.033333333333331"/>
    <x v="6"/>
    <x v="246"/>
    <x v="0"/>
    <m/>
    <x v="0"/>
    <x v="2"/>
    <s v="Taung Paw "/>
    <m/>
    <m/>
    <m/>
    <m/>
    <m/>
    <m/>
    <m/>
    <m/>
    <m/>
    <n v="705"/>
    <m/>
    <m/>
    <m/>
    <m/>
    <m/>
    <m/>
    <m/>
    <m/>
    <m/>
    <m/>
    <m/>
    <n v="0"/>
    <n v="0"/>
    <n v="0"/>
    <n v="0"/>
    <n v="0"/>
    <n v="0"/>
    <n v="0"/>
    <n v="0"/>
    <n v="0"/>
    <n v="0"/>
    <n v="0"/>
    <n v="0"/>
    <n v="0"/>
    <n v="0"/>
    <n v="0"/>
    <n v="0"/>
    <s v="MMR012CMP014"/>
    <x v="0"/>
    <m/>
  </r>
  <r>
    <n v="73.033333333333331"/>
    <x v="6"/>
    <x v="246"/>
    <x v="24"/>
    <s v="UNHCR"/>
    <x v="0"/>
    <x v="0"/>
    <s v="Thet Kae Pyin "/>
    <m/>
    <m/>
    <m/>
    <m/>
    <m/>
    <m/>
    <m/>
    <n v="100"/>
    <m/>
    <m/>
    <m/>
    <m/>
    <m/>
    <m/>
    <m/>
    <m/>
    <m/>
    <m/>
    <m/>
    <m/>
    <m/>
    <n v="0"/>
    <n v="0"/>
    <n v="0"/>
    <n v="0"/>
    <n v="0"/>
    <n v="0"/>
    <n v="0"/>
    <n v="0"/>
    <n v="0"/>
    <n v="0"/>
    <n v="0"/>
    <n v="0"/>
    <n v="0"/>
    <n v="0"/>
    <n v="0"/>
    <n v="0"/>
    <s v="MMR012CMP048"/>
    <x v="0"/>
    <m/>
  </r>
  <r>
    <n v="73.333333333333329"/>
    <x v="6"/>
    <x v="247"/>
    <x v="0"/>
    <m/>
    <x v="0"/>
    <x v="6"/>
    <s v="Nagara Pauktaw"/>
    <m/>
    <m/>
    <m/>
    <m/>
    <m/>
    <m/>
    <n v="129"/>
    <m/>
    <m/>
    <m/>
    <m/>
    <m/>
    <m/>
    <m/>
    <m/>
    <m/>
    <m/>
    <m/>
    <m/>
    <m/>
    <m/>
    <n v="0"/>
    <n v="0"/>
    <n v="0"/>
    <n v="0"/>
    <n v="0"/>
    <n v="0"/>
    <n v="0"/>
    <n v="0"/>
    <n v="0"/>
    <n v="0"/>
    <n v="0"/>
    <n v="0"/>
    <n v="0"/>
    <n v="0"/>
    <n v="0"/>
    <n v="0"/>
    <s v="MMR012CMP004"/>
    <x v="4"/>
    <m/>
  </r>
  <r>
    <n v="73.333333333333329"/>
    <x v="6"/>
    <x v="247"/>
    <x v="0"/>
    <m/>
    <x v="0"/>
    <x v="7"/>
    <s v="Pa Rein"/>
    <m/>
    <m/>
    <m/>
    <m/>
    <m/>
    <m/>
    <n v="140"/>
    <m/>
    <m/>
    <m/>
    <m/>
    <m/>
    <m/>
    <m/>
    <m/>
    <m/>
    <m/>
    <m/>
    <m/>
    <m/>
    <m/>
    <n v="0"/>
    <n v="0"/>
    <n v="0"/>
    <n v="0"/>
    <n v="0"/>
    <n v="0"/>
    <n v="0"/>
    <n v="0"/>
    <n v="0"/>
    <n v="0"/>
    <n v="0"/>
    <n v="0"/>
    <n v="0"/>
    <n v="0"/>
    <n v="0"/>
    <n v="0"/>
    <s v="MMR012CMP009"/>
    <x v="3"/>
    <m/>
  </r>
  <r>
    <n v="73.333333333333329"/>
    <x v="6"/>
    <x v="247"/>
    <x v="0"/>
    <m/>
    <x v="0"/>
    <x v="6"/>
    <s v="Sam Ba Le"/>
    <m/>
    <m/>
    <m/>
    <m/>
    <m/>
    <n v="27"/>
    <n v="2"/>
    <m/>
    <m/>
    <m/>
    <m/>
    <m/>
    <m/>
    <m/>
    <m/>
    <m/>
    <m/>
    <m/>
    <m/>
    <m/>
    <m/>
    <n v="0"/>
    <n v="0"/>
    <n v="0"/>
    <n v="0"/>
    <n v="0"/>
    <n v="0"/>
    <n v="0"/>
    <n v="0"/>
    <n v="0"/>
    <n v="0"/>
    <n v="0"/>
    <n v="0"/>
    <n v="0"/>
    <n v="0"/>
    <n v="0"/>
    <n v="0"/>
    <s v="MMR012CMP008"/>
    <x v="3"/>
    <m/>
  </r>
  <r>
    <n v="73.333333333333329"/>
    <x v="6"/>
    <x v="247"/>
    <x v="0"/>
    <m/>
    <x v="0"/>
    <x v="6"/>
    <s v="San Htoe Tan"/>
    <m/>
    <m/>
    <m/>
    <m/>
    <m/>
    <n v="172"/>
    <n v="10"/>
    <n v="172"/>
    <m/>
    <m/>
    <m/>
    <m/>
    <m/>
    <m/>
    <m/>
    <m/>
    <m/>
    <m/>
    <m/>
    <m/>
    <m/>
    <n v="0"/>
    <n v="0"/>
    <n v="0"/>
    <n v="0"/>
    <n v="0"/>
    <n v="0"/>
    <n v="0"/>
    <n v="0"/>
    <n v="0"/>
    <n v="0"/>
    <n v="0"/>
    <n v="0"/>
    <n v="0"/>
    <n v="0"/>
    <n v="0"/>
    <n v="0"/>
    <s v="MMR012CMP003"/>
    <x v="3"/>
    <m/>
  </r>
  <r>
    <n v="73.333333333333329"/>
    <x v="6"/>
    <x v="247"/>
    <x v="0"/>
    <m/>
    <x v="0"/>
    <x v="6"/>
    <s v="Tha Dar"/>
    <m/>
    <m/>
    <m/>
    <m/>
    <m/>
    <m/>
    <n v="145"/>
    <m/>
    <m/>
    <m/>
    <m/>
    <m/>
    <m/>
    <m/>
    <m/>
    <m/>
    <m/>
    <m/>
    <m/>
    <m/>
    <m/>
    <n v="0"/>
    <n v="0"/>
    <n v="0"/>
    <n v="0"/>
    <n v="0"/>
    <n v="0"/>
    <n v="0"/>
    <n v="0"/>
    <n v="0"/>
    <n v="0"/>
    <n v="0"/>
    <n v="0"/>
    <n v="0"/>
    <n v="0"/>
    <n v="0"/>
    <n v="0"/>
    <s v="MMR012CMP002"/>
    <x v="3"/>
    <m/>
  </r>
  <r>
    <n v="73.333333333333329"/>
    <x v="6"/>
    <x v="247"/>
    <x v="0"/>
    <m/>
    <x v="0"/>
    <x v="7"/>
    <s v="Yai Thei-Muslim"/>
    <m/>
    <m/>
    <m/>
    <m/>
    <m/>
    <m/>
    <n v="83"/>
    <m/>
    <m/>
    <m/>
    <m/>
    <m/>
    <m/>
    <m/>
    <m/>
    <m/>
    <m/>
    <m/>
    <m/>
    <m/>
    <m/>
    <n v="0"/>
    <n v="0"/>
    <n v="0"/>
    <n v="0"/>
    <n v="0"/>
    <n v="0"/>
    <n v="0"/>
    <n v="0"/>
    <n v="0"/>
    <n v="0"/>
    <n v="0"/>
    <n v="0"/>
    <n v="0"/>
    <n v="0"/>
    <n v="0"/>
    <n v="0"/>
    <s v="MMR012CMP010"/>
    <x v="3"/>
    <m/>
  </r>
  <r>
    <n v="73.400000000000006"/>
    <x v="6"/>
    <x v="248"/>
    <x v="0"/>
    <m/>
    <x v="0"/>
    <x v="1"/>
    <s v="Ah Nauk Ywe"/>
    <m/>
    <m/>
    <m/>
    <m/>
    <m/>
    <m/>
    <n v="458"/>
    <n v="148"/>
    <m/>
    <m/>
    <m/>
    <m/>
    <m/>
    <m/>
    <m/>
    <m/>
    <m/>
    <m/>
    <m/>
    <m/>
    <m/>
    <n v="0"/>
    <n v="0"/>
    <n v="0"/>
    <n v="0"/>
    <n v="0"/>
    <n v="0"/>
    <n v="0"/>
    <n v="0"/>
    <n v="0"/>
    <n v="0"/>
    <n v="0"/>
    <n v="0"/>
    <n v="0"/>
    <n v="0"/>
    <n v="0"/>
    <n v="0"/>
    <s v="MMR012CMP016"/>
    <x v="0"/>
    <m/>
  </r>
  <r>
    <n v="73.400000000000006"/>
    <x v="6"/>
    <x v="248"/>
    <x v="0"/>
    <m/>
    <x v="0"/>
    <x v="1"/>
    <s v="Kyein Ni Pyin"/>
    <m/>
    <m/>
    <m/>
    <m/>
    <m/>
    <n v="769"/>
    <n v="369"/>
    <n v="1538"/>
    <n v="769"/>
    <m/>
    <m/>
    <m/>
    <m/>
    <m/>
    <m/>
    <m/>
    <m/>
    <m/>
    <m/>
    <m/>
    <m/>
    <n v="0"/>
    <n v="0"/>
    <n v="0"/>
    <n v="0"/>
    <n v="0"/>
    <n v="0"/>
    <n v="0"/>
    <n v="0"/>
    <n v="0"/>
    <n v="0"/>
    <n v="0"/>
    <n v="0"/>
    <n v="0"/>
    <n v="0"/>
    <n v="0"/>
    <n v="0"/>
    <s v="MMR012CMP018"/>
    <x v="0"/>
    <m/>
  </r>
  <r>
    <n v="73.400000000000006"/>
    <x v="6"/>
    <x v="248"/>
    <x v="0"/>
    <m/>
    <x v="0"/>
    <x v="1"/>
    <s v="Nget Chaung"/>
    <m/>
    <m/>
    <m/>
    <m/>
    <m/>
    <n v="1306"/>
    <n v="506"/>
    <n v="1306"/>
    <n v="1306"/>
    <m/>
    <m/>
    <m/>
    <m/>
    <m/>
    <m/>
    <m/>
    <m/>
    <m/>
    <m/>
    <m/>
    <m/>
    <n v="0"/>
    <n v="0"/>
    <n v="0"/>
    <n v="0"/>
    <n v="0"/>
    <n v="0"/>
    <n v="0"/>
    <n v="0"/>
    <n v="0"/>
    <n v="0"/>
    <n v="0"/>
    <n v="0"/>
    <n v="0"/>
    <n v="0"/>
    <n v="0"/>
    <n v="0"/>
    <s v=""/>
    <x v="1"/>
    <m/>
  </r>
  <r>
    <n v="73.400000000000006"/>
    <x v="6"/>
    <x v="248"/>
    <x v="0"/>
    <m/>
    <x v="0"/>
    <x v="9"/>
    <s v="Ramree Town"/>
    <m/>
    <m/>
    <m/>
    <m/>
    <m/>
    <n v="26"/>
    <n v="13"/>
    <n v="26"/>
    <n v="13"/>
    <m/>
    <m/>
    <m/>
    <m/>
    <m/>
    <m/>
    <m/>
    <m/>
    <m/>
    <m/>
    <m/>
    <m/>
    <n v="0"/>
    <n v="0"/>
    <n v="0"/>
    <n v="0"/>
    <n v="0"/>
    <n v="0"/>
    <n v="0"/>
    <n v="0"/>
    <n v="0"/>
    <n v="0"/>
    <n v="0"/>
    <n v="0"/>
    <n v="0"/>
    <n v="0"/>
    <n v="0"/>
    <n v="0"/>
    <s v="MMR012CMP038"/>
    <x v="4"/>
    <m/>
  </r>
  <r>
    <n v="73.400000000000006"/>
    <x v="6"/>
    <x v="248"/>
    <x v="0"/>
    <m/>
    <x v="0"/>
    <x v="9"/>
    <s v="Ramree Ward 6"/>
    <m/>
    <m/>
    <m/>
    <m/>
    <m/>
    <n v="194"/>
    <n v="97"/>
    <n v="194"/>
    <n v="97"/>
    <m/>
    <m/>
    <m/>
    <m/>
    <m/>
    <m/>
    <m/>
    <m/>
    <m/>
    <m/>
    <m/>
    <m/>
    <n v="0"/>
    <n v="0"/>
    <n v="0"/>
    <n v="0"/>
    <n v="0"/>
    <n v="0"/>
    <n v="0"/>
    <n v="0"/>
    <n v="0"/>
    <n v="0"/>
    <n v="0"/>
    <n v="0"/>
    <n v="0"/>
    <n v="0"/>
    <n v="0"/>
    <n v="0"/>
    <s v="MMR012CMP037"/>
    <x v="4"/>
    <m/>
  </r>
  <r>
    <n v="73.400000000000006"/>
    <x v="6"/>
    <x v="248"/>
    <x v="0"/>
    <m/>
    <x v="0"/>
    <x v="1"/>
    <s v="Sin Tet Maw"/>
    <m/>
    <m/>
    <m/>
    <m/>
    <m/>
    <m/>
    <n v="362"/>
    <m/>
    <m/>
    <m/>
    <m/>
    <m/>
    <m/>
    <m/>
    <m/>
    <m/>
    <m/>
    <m/>
    <m/>
    <m/>
    <m/>
    <n v="0"/>
    <n v="0"/>
    <n v="0"/>
    <n v="0"/>
    <n v="0"/>
    <n v="0"/>
    <n v="0"/>
    <n v="0"/>
    <n v="0"/>
    <n v="0"/>
    <n v="0"/>
    <n v="0"/>
    <n v="0"/>
    <n v="0"/>
    <n v="0"/>
    <n v="0"/>
    <s v="MMR012CMP019"/>
    <x v="0"/>
    <m/>
  </r>
  <r>
    <n v="73.933333333333337"/>
    <x v="6"/>
    <x v="249"/>
    <x v="0"/>
    <m/>
    <x v="0"/>
    <x v="1"/>
    <s v="Sin Tet Maw"/>
    <m/>
    <m/>
    <m/>
    <m/>
    <m/>
    <n v="862"/>
    <n v="500"/>
    <n v="862"/>
    <n v="862"/>
    <m/>
    <m/>
    <m/>
    <m/>
    <m/>
    <m/>
    <m/>
    <m/>
    <m/>
    <m/>
    <m/>
    <m/>
    <n v="0"/>
    <n v="0"/>
    <n v="0"/>
    <n v="0"/>
    <n v="0"/>
    <n v="0"/>
    <n v="0"/>
    <n v="0"/>
    <n v="0"/>
    <n v="0"/>
    <n v="0"/>
    <n v="0"/>
    <n v="0"/>
    <n v="0"/>
    <n v="0"/>
    <n v="0"/>
    <s v="MMR012CMP019"/>
    <x v="0"/>
    <m/>
  </r>
  <r>
    <n v="73.966666666666669"/>
    <x v="6"/>
    <x v="250"/>
    <x v="0"/>
    <m/>
    <x v="0"/>
    <x v="4"/>
    <s v="Ah Lel Kyun"/>
    <m/>
    <m/>
    <m/>
    <m/>
    <m/>
    <m/>
    <n v="85"/>
    <m/>
    <m/>
    <m/>
    <m/>
    <m/>
    <m/>
    <m/>
    <m/>
    <m/>
    <m/>
    <m/>
    <m/>
    <m/>
    <m/>
    <n v="0"/>
    <n v="0"/>
    <n v="0"/>
    <n v="0"/>
    <n v="0"/>
    <n v="0"/>
    <n v="0"/>
    <n v="0"/>
    <n v="0"/>
    <n v="0"/>
    <n v="0"/>
    <n v="0"/>
    <n v="0"/>
    <n v="0"/>
    <n v="0"/>
    <n v="0"/>
    <s v="MMR012CMP025"/>
    <x v="3"/>
    <m/>
  </r>
  <r>
    <n v="74"/>
    <x v="6"/>
    <x v="251"/>
    <x v="0"/>
    <m/>
    <x v="0"/>
    <x v="2"/>
    <s v="Taung Paw "/>
    <m/>
    <m/>
    <m/>
    <m/>
    <m/>
    <m/>
    <n v="146"/>
    <m/>
    <n v="146"/>
    <m/>
    <m/>
    <m/>
    <m/>
    <m/>
    <m/>
    <m/>
    <m/>
    <m/>
    <m/>
    <m/>
    <m/>
    <n v="0"/>
    <n v="0"/>
    <n v="0"/>
    <n v="0"/>
    <n v="0"/>
    <n v="0"/>
    <n v="0"/>
    <n v="0"/>
    <n v="0"/>
    <n v="0"/>
    <n v="0"/>
    <n v="0"/>
    <n v="0"/>
    <n v="0"/>
    <n v="0"/>
    <n v="0"/>
    <s v="MMR012CMP014"/>
    <x v="0"/>
    <m/>
  </r>
  <r>
    <n v="74.033333333333331"/>
    <x v="6"/>
    <x v="252"/>
    <x v="0"/>
    <m/>
    <x v="0"/>
    <x v="6"/>
    <s v="Aung Taing"/>
    <m/>
    <m/>
    <m/>
    <m/>
    <m/>
    <m/>
    <n v="40"/>
    <m/>
    <m/>
    <m/>
    <m/>
    <m/>
    <m/>
    <m/>
    <m/>
    <m/>
    <m/>
    <m/>
    <m/>
    <m/>
    <m/>
    <n v="0"/>
    <n v="0"/>
    <n v="0"/>
    <n v="0"/>
    <n v="0"/>
    <n v="0"/>
    <n v="0"/>
    <n v="0"/>
    <n v="0"/>
    <n v="0"/>
    <n v="0"/>
    <n v="0"/>
    <n v="0"/>
    <n v="0"/>
    <n v="0"/>
    <n v="0"/>
    <s v="MMR012CMP006"/>
    <x v="3"/>
    <m/>
  </r>
  <r>
    <n v="74.033333333333331"/>
    <x v="6"/>
    <x v="252"/>
    <x v="0"/>
    <m/>
    <x v="0"/>
    <x v="6"/>
    <s v="Nagara Pauktaw"/>
    <m/>
    <m/>
    <m/>
    <m/>
    <m/>
    <m/>
    <n v="100"/>
    <m/>
    <m/>
    <m/>
    <m/>
    <m/>
    <m/>
    <m/>
    <m/>
    <m/>
    <m/>
    <m/>
    <m/>
    <m/>
    <m/>
    <n v="0"/>
    <n v="0"/>
    <n v="0"/>
    <n v="0"/>
    <n v="0"/>
    <n v="0"/>
    <n v="0"/>
    <n v="0"/>
    <n v="0"/>
    <n v="0"/>
    <n v="0"/>
    <n v="0"/>
    <n v="0"/>
    <n v="0"/>
    <n v="0"/>
    <n v="0"/>
    <s v="MMR012CMP004"/>
    <x v="4"/>
    <m/>
  </r>
  <r>
    <n v="74.033333333333331"/>
    <x v="6"/>
    <x v="252"/>
    <x v="0"/>
    <m/>
    <x v="0"/>
    <x v="7"/>
    <s v="Pa Rein"/>
    <m/>
    <m/>
    <m/>
    <m/>
    <m/>
    <m/>
    <n v="100"/>
    <m/>
    <m/>
    <m/>
    <m/>
    <m/>
    <m/>
    <m/>
    <m/>
    <m/>
    <m/>
    <m/>
    <m/>
    <m/>
    <m/>
    <n v="0"/>
    <n v="0"/>
    <n v="0"/>
    <n v="0"/>
    <n v="0"/>
    <n v="0"/>
    <n v="0"/>
    <n v="0"/>
    <n v="0"/>
    <n v="0"/>
    <n v="0"/>
    <n v="0"/>
    <n v="0"/>
    <n v="0"/>
    <n v="0"/>
    <n v="0"/>
    <s v="MMR012CMP009"/>
    <x v="3"/>
    <m/>
  </r>
  <r>
    <n v="74.833333333333329"/>
    <x v="6"/>
    <x v="253"/>
    <x v="0"/>
    <m/>
    <x v="0"/>
    <x v="4"/>
    <s v="Ah Pauk Wa "/>
    <m/>
    <m/>
    <m/>
    <m/>
    <m/>
    <m/>
    <n v="90"/>
    <m/>
    <m/>
    <m/>
    <m/>
    <m/>
    <m/>
    <m/>
    <m/>
    <m/>
    <m/>
    <m/>
    <m/>
    <m/>
    <m/>
    <n v="0"/>
    <n v="0"/>
    <n v="0"/>
    <n v="0"/>
    <n v="0"/>
    <n v="0"/>
    <n v="0"/>
    <n v="0"/>
    <n v="0"/>
    <n v="0"/>
    <n v="0"/>
    <n v="0"/>
    <n v="0"/>
    <n v="0"/>
    <n v="0"/>
    <n v="0"/>
    <s v="MMR012CMP024"/>
    <x v="3"/>
    <m/>
  </r>
  <r>
    <n v="74.833333333333329"/>
    <x v="6"/>
    <x v="253"/>
    <x v="0"/>
    <m/>
    <x v="0"/>
    <x v="4"/>
    <s v="San Gar Taung"/>
    <m/>
    <m/>
    <m/>
    <m/>
    <m/>
    <m/>
    <n v="97"/>
    <m/>
    <m/>
    <m/>
    <m/>
    <m/>
    <m/>
    <m/>
    <m/>
    <m/>
    <m/>
    <m/>
    <m/>
    <m/>
    <m/>
    <n v="0"/>
    <n v="0"/>
    <n v="0"/>
    <n v="0"/>
    <n v="0"/>
    <n v="0"/>
    <n v="0"/>
    <n v="0"/>
    <n v="0"/>
    <n v="0"/>
    <n v="0"/>
    <n v="0"/>
    <n v="0"/>
    <n v="0"/>
    <n v="0"/>
    <n v="0"/>
    <s v=""/>
    <x v="1"/>
    <m/>
  </r>
  <r>
    <n v="74.86666666666666"/>
    <x v="6"/>
    <x v="254"/>
    <x v="0"/>
    <m/>
    <x v="0"/>
    <x v="0"/>
    <s v="Thet Kay Pyin School"/>
    <m/>
    <m/>
    <m/>
    <m/>
    <m/>
    <m/>
    <n v="100"/>
    <m/>
    <m/>
    <m/>
    <m/>
    <m/>
    <m/>
    <m/>
    <m/>
    <m/>
    <m/>
    <m/>
    <m/>
    <m/>
    <m/>
    <n v="0"/>
    <n v="0"/>
    <n v="0"/>
    <n v="0"/>
    <n v="0"/>
    <n v="0"/>
    <n v="0"/>
    <n v="0"/>
    <n v="0"/>
    <n v="0"/>
    <n v="0"/>
    <n v="0"/>
    <n v="0"/>
    <n v="0"/>
    <n v="0"/>
    <n v="0"/>
    <s v=""/>
    <x v="1"/>
    <m/>
  </r>
  <r>
    <n v="75.833333333333329"/>
    <x v="6"/>
    <x v="255"/>
    <x v="0"/>
    <m/>
    <x v="0"/>
    <x v="0"/>
    <s v="Baw Du Pha"/>
    <m/>
    <m/>
    <m/>
    <m/>
    <m/>
    <m/>
    <n v="55"/>
    <m/>
    <m/>
    <m/>
    <m/>
    <m/>
    <m/>
    <m/>
    <m/>
    <m/>
    <m/>
    <m/>
    <m/>
    <m/>
    <m/>
    <n v="0"/>
    <n v="0"/>
    <n v="0"/>
    <n v="0"/>
    <n v="0"/>
    <n v="0"/>
    <n v="0"/>
    <n v="0"/>
    <n v="0"/>
    <n v="0"/>
    <n v="0"/>
    <n v="0"/>
    <n v="0"/>
    <n v="0"/>
    <n v="0"/>
    <n v="0"/>
    <s v="MMR012CMP040"/>
    <x v="4"/>
    <m/>
  </r>
  <r>
    <n v="75.900000000000006"/>
    <x v="6"/>
    <x v="256"/>
    <x v="0"/>
    <m/>
    <x v="0"/>
    <x v="0"/>
    <s v="Baw Du Pha"/>
    <m/>
    <m/>
    <m/>
    <m/>
    <m/>
    <m/>
    <m/>
    <n v="65"/>
    <m/>
    <m/>
    <m/>
    <m/>
    <m/>
    <m/>
    <m/>
    <m/>
    <m/>
    <m/>
    <m/>
    <m/>
    <m/>
    <n v="0"/>
    <n v="0"/>
    <n v="0"/>
    <n v="0"/>
    <n v="0"/>
    <n v="0"/>
    <n v="0"/>
    <n v="0"/>
    <n v="0"/>
    <n v="0"/>
    <n v="0"/>
    <n v="0"/>
    <n v="0"/>
    <n v="0"/>
    <n v="0"/>
    <n v="0"/>
    <s v="MMR012CMP040"/>
    <x v="4"/>
    <m/>
  </r>
  <r>
    <n v="76.033333333333331"/>
    <x v="6"/>
    <x v="257"/>
    <x v="24"/>
    <s v="UNHCR"/>
    <x v="0"/>
    <x v="0"/>
    <s v="Ohn Taw Gyi 1"/>
    <m/>
    <m/>
    <m/>
    <m/>
    <m/>
    <m/>
    <m/>
    <n v="60"/>
    <m/>
    <m/>
    <m/>
    <m/>
    <m/>
    <m/>
    <m/>
    <m/>
    <m/>
    <m/>
    <m/>
    <m/>
    <m/>
    <n v="0"/>
    <n v="0"/>
    <n v="0"/>
    <n v="0"/>
    <n v="0"/>
    <n v="0"/>
    <n v="0"/>
    <n v="0"/>
    <n v="0"/>
    <n v="0"/>
    <n v="0"/>
    <n v="0"/>
    <n v="0"/>
    <n v="0"/>
    <n v="0"/>
    <n v="0"/>
    <s v="MMR012CMP043"/>
    <x v="4"/>
    <m/>
  </r>
  <r>
    <n v="76.266666666666666"/>
    <x v="6"/>
    <x v="258"/>
    <x v="0"/>
    <m/>
    <x v="0"/>
    <x v="4"/>
    <s v="Goke Pi Htaunt"/>
    <m/>
    <m/>
    <m/>
    <m/>
    <m/>
    <m/>
    <n v="114"/>
    <m/>
    <m/>
    <m/>
    <m/>
    <m/>
    <m/>
    <m/>
    <m/>
    <m/>
    <m/>
    <m/>
    <m/>
    <m/>
    <m/>
    <n v="0"/>
    <n v="0"/>
    <n v="0"/>
    <n v="0"/>
    <n v="0"/>
    <n v="0"/>
    <n v="0"/>
    <n v="0"/>
    <n v="0"/>
    <n v="0"/>
    <n v="0"/>
    <n v="0"/>
    <n v="0"/>
    <n v="0"/>
    <n v="0"/>
    <n v="0"/>
    <s v="MMR012CMP027"/>
    <x v="3"/>
    <m/>
  </r>
  <r>
    <n v="76.266666666666666"/>
    <x v="6"/>
    <x v="258"/>
    <x v="0"/>
    <m/>
    <x v="0"/>
    <x v="4"/>
    <s v="In Bar Yi"/>
    <m/>
    <m/>
    <m/>
    <m/>
    <m/>
    <m/>
    <n v="230"/>
    <m/>
    <m/>
    <n v="230"/>
    <m/>
    <m/>
    <m/>
    <m/>
    <m/>
    <m/>
    <m/>
    <m/>
    <m/>
    <m/>
    <m/>
    <n v="0"/>
    <n v="0"/>
    <n v="0"/>
    <n v="0"/>
    <n v="0"/>
    <n v="0"/>
    <n v="0"/>
    <n v="0"/>
    <n v="0"/>
    <n v="0"/>
    <n v="0"/>
    <n v="0"/>
    <n v="0"/>
    <n v="0"/>
    <n v="0"/>
    <n v="0"/>
    <s v="MMR012CMP026"/>
    <x v="3"/>
    <m/>
  </r>
  <r>
    <n v="76.266666666666666"/>
    <x v="6"/>
    <x v="258"/>
    <x v="0"/>
    <m/>
    <x v="0"/>
    <x v="4"/>
    <s v="Shwe Hlaing"/>
    <m/>
    <m/>
    <m/>
    <m/>
    <m/>
    <m/>
    <n v="144"/>
    <n v="290"/>
    <n v="40"/>
    <m/>
    <m/>
    <m/>
    <m/>
    <m/>
    <m/>
    <m/>
    <m/>
    <m/>
    <m/>
    <m/>
    <m/>
    <n v="0"/>
    <n v="0"/>
    <n v="0"/>
    <n v="0"/>
    <n v="0"/>
    <n v="0"/>
    <n v="0"/>
    <n v="0"/>
    <n v="0"/>
    <n v="0"/>
    <n v="0"/>
    <n v="0"/>
    <n v="0"/>
    <n v="0"/>
    <n v="0"/>
    <n v="0"/>
    <s v="MMR012CMP029"/>
    <x v="3"/>
    <m/>
  </r>
  <r>
    <n v="76.266666666666666"/>
    <x v="6"/>
    <x v="258"/>
    <x v="0"/>
    <m/>
    <x v="0"/>
    <x v="4"/>
    <s v="Yun Nyar"/>
    <m/>
    <m/>
    <m/>
    <m/>
    <m/>
    <m/>
    <n v="107"/>
    <m/>
    <m/>
    <m/>
    <m/>
    <m/>
    <m/>
    <m/>
    <m/>
    <m/>
    <m/>
    <m/>
    <m/>
    <m/>
    <m/>
    <n v="0"/>
    <n v="0"/>
    <n v="0"/>
    <n v="0"/>
    <n v="0"/>
    <n v="0"/>
    <n v="0"/>
    <n v="0"/>
    <n v="0"/>
    <n v="0"/>
    <n v="0"/>
    <n v="0"/>
    <n v="0"/>
    <n v="0"/>
    <n v="0"/>
    <n v="0"/>
    <s v="MMR012CMP028"/>
    <x v="3"/>
    <m/>
  </r>
  <r>
    <n v="76.333333333333329"/>
    <x v="6"/>
    <x v="259"/>
    <x v="0"/>
    <m/>
    <x v="0"/>
    <x v="0"/>
    <s v="Dar Pai"/>
    <m/>
    <m/>
    <m/>
    <m/>
    <m/>
    <m/>
    <n v="805"/>
    <m/>
    <m/>
    <m/>
    <m/>
    <m/>
    <m/>
    <m/>
    <m/>
    <m/>
    <m/>
    <m/>
    <m/>
    <m/>
    <m/>
    <n v="0"/>
    <n v="0"/>
    <n v="0"/>
    <n v="0"/>
    <n v="0"/>
    <n v="0"/>
    <n v="0"/>
    <n v="0"/>
    <n v="0"/>
    <n v="0"/>
    <n v="0"/>
    <n v="0"/>
    <n v="0"/>
    <n v="0"/>
    <n v="0"/>
    <n v="0"/>
    <s v="MMR012CMP041"/>
    <x v="0"/>
    <m/>
  </r>
  <r>
    <n v="76.933333333333337"/>
    <x v="6"/>
    <x v="260"/>
    <x v="0"/>
    <m/>
    <x v="0"/>
    <x v="0"/>
    <s v="Thet Kae Pyin "/>
    <m/>
    <m/>
    <m/>
    <m/>
    <m/>
    <m/>
    <n v="98"/>
    <m/>
    <m/>
    <m/>
    <m/>
    <m/>
    <m/>
    <m/>
    <m/>
    <m/>
    <m/>
    <m/>
    <m/>
    <m/>
    <m/>
    <n v="0"/>
    <n v="0"/>
    <n v="0"/>
    <n v="0"/>
    <n v="0"/>
    <n v="0"/>
    <n v="0"/>
    <n v="0"/>
    <n v="0"/>
    <n v="0"/>
    <n v="0"/>
    <n v="0"/>
    <n v="0"/>
    <n v="0"/>
    <n v="0"/>
    <n v="0"/>
    <s v="MMR012CMP048"/>
    <x v="0"/>
    <m/>
  </r>
  <r>
    <n v="77.13333333333334"/>
    <x v="6"/>
    <x v="261"/>
    <x v="0"/>
    <m/>
    <x v="0"/>
    <x v="0"/>
    <s v="Say Tha Mar Gyi"/>
    <m/>
    <m/>
    <m/>
    <m/>
    <m/>
    <m/>
    <n v="461"/>
    <m/>
    <m/>
    <m/>
    <m/>
    <m/>
    <m/>
    <m/>
    <m/>
    <m/>
    <m/>
    <m/>
    <m/>
    <m/>
    <m/>
    <n v="0"/>
    <n v="0"/>
    <n v="0"/>
    <n v="0"/>
    <n v="0"/>
    <n v="0"/>
    <n v="0"/>
    <n v="0"/>
    <n v="0"/>
    <n v="0"/>
    <n v="0"/>
    <n v="0"/>
    <n v="0"/>
    <n v="0"/>
    <n v="0"/>
    <n v="0"/>
    <s v="MMR012CMP045"/>
    <x v="0"/>
    <m/>
  </r>
  <r>
    <n v="77.13333333333334"/>
    <x v="6"/>
    <x v="261"/>
    <x v="0"/>
    <m/>
    <x v="0"/>
    <x v="0"/>
    <s v="Thet Kae Pyin "/>
    <m/>
    <m/>
    <m/>
    <m/>
    <m/>
    <m/>
    <n v="11"/>
    <m/>
    <m/>
    <m/>
    <m/>
    <m/>
    <m/>
    <m/>
    <m/>
    <m/>
    <m/>
    <m/>
    <m/>
    <m/>
    <m/>
    <n v="0"/>
    <n v="0"/>
    <n v="0"/>
    <n v="0"/>
    <n v="0"/>
    <n v="0"/>
    <n v="0"/>
    <n v="0"/>
    <n v="0"/>
    <n v="0"/>
    <n v="0"/>
    <n v="0"/>
    <n v="0"/>
    <n v="0"/>
    <n v="0"/>
    <n v="0"/>
    <s v="MMR012CMP048"/>
    <x v="0"/>
    <m/>
  </r>
  <r>
    <n v="77.166666666666671"/>
    <x v="6"/>
    <x v="262"/>
    <x v="0"/>
    <m/>
    <x v="0"/>
    <x v="0"/>
    <s v="Khaung Doke Khar "/>
    <m/>
    <m/>
    <m/>
    <m/>
    <m/>
    <m/>
    <n v="22"/>
    <m/>
    <m/>
    <m/>
    <m/>
    <m/>
    <m/>
    <m/>
    <m/>
    <m/>
    <m/>
    <m/>
    <m/>
    <m/>
    <m/>
    <n v="0"/>
    <n v="0"/>
    <n v="0"/>
    <n v="0"/>
    <n v="0"/>
    <n v="0"/>
    <n v="0"/>
    <n v="0"/>
    <n v="0"/>
    <n v="0"/>
    <n v="0"/>
    <n v="0"/>
    <n v="0"/>
    <n v="0"/>
    <n v="0"/>
    <n v="0"/>
    <s v=""/>
    <x v="1"/>
    <m/>
  </r>
  <r>
    <n v="77.166666666666671"/>
    <x v="6"/>
    <x v="262"/>
    <x v="0"/>
    <m/>
    <x v="0"/>
    <x v="0"/>
    <s v="Say Tha Mar Gyi"/>
    <m/>
    <m/>
    <m/>
    <m/>
    <m/>
    <m/>
    <n v="456"/>
    <m/>
    <m/>
    <m/>
    <m/>
    <m/>
    <m/>
    <m/>
    <m/>
    <m/>
    <m/>
    <m/>
    <m/>
    <m/>
    <m/>
    <n v="0"/>
    <n v="0"/>
    <n v="0"/>
    <n v="0"/>
    <n v="0"/>
    <n v="0"/>
    <n v="0"/>
    <n v="0"/>
    <n v="0"/>
    <n v="0"/>
    <n v="0"/>
    <n v="0"/>
    <n v="0"/>
    <n v="0"/>
    <n v="0"/>
    <n v="0"/>
    <s v="MMR012CMP045"/>
    <x v="0"/>
    <m/>
  </r>
  <r>
    <n v="77.433333333333337"/>
    <x v="6"/>
    <x v="263"/>
    <x v="0"/>
    <m/>
    <x v="0"/>
    <x v="0"/>
    <s v="Say Tha Mar Gyi"/>
    <m/>
    <m/>
    <m/>
    <m/>
    <m/>
    <m/>
    <n v="117"/>
    <m/>
    <m/>
    <m/>
    <m/>
    <m/>
    <m/>
    <m/>
    <m/>
    <m/>
    <m/>
    <m/>
    <m/>
    <m/>
    <m/>
    <n v="0"/>
    <n v="0"/>
    <n v="0"/>
    <n v="0"/>
    <n v="0"/>
    <n v="0"/>
    <n v="0"/>
    <n v="0"/>
    <n v="0"/>
    <n v="0"/>
    <n v="0"/>
    <n v="0"/>
    <n v="0"/>
    <n v="0"/>
    <n v="0"/>
    <n v="0"/>
    <s v="MMR012CMP045"/>
    <x v="0"/>
    <m/>
  </r>
  <r>
    <n v="77.466666666666669"/>
    <x v="6"/>
    <x v="264"/>
    <x v="0"/>
    <m/>
    <x v="0"/>
    <x v="0"/>
    <s v="Basare"/>
    <m/>
    <m/>
    <m/>
    <m/>
    <m/>
    <m/>
    <n v="383"/>
    <m/>
    <m/>
    <m/>
    <m/>
    <m/>
    <m/>
    <m/>
    <m/>
    <m/>
    <m/>
    <m/>
    <m/>
    <m/>
    <m/>
    <n v="0"/>
    <n v="0"/>
    <n v="0"/>
    <n v="0"/>
    <n v="0"/>
    <n v="0"/>
    <n v="0"/>
    <n v="0"/>
    <n v="0"/>
    <n v="0"/>
    <n v="0"/>
    <n v="0"/>
    <n v="0"/>
    <n v="0"/>
    <n v="0"/>
    <n v="0"/>
    <s v="MMR012CMP039"/>
    <x v="0"/>
    <m/>
  </r>
  <r>
    <n v="77.5"/>
    <x v="6"/>
    <x v="265"/>
    <x v="0"/>
    <m/>
    <x v="0"/>
    <x v="0"/>
    <s v="Thet Kae Pyin "/>
    <m/>
    <m/>
    <m/>
    <m/>
    <m/>
    <m/>
    <n v="572"/>
    <m/>
    <m/>
    <m/>
    <m/>
    <m/>
    <m/>
    <m/>
    <m/>
    <m/>
    <m/>
    <m/>
    <m/>
    <m/>
    <m/>
    <n v="0"/>
    <n v="0"/>
    <n v="0"/>
    <n v="0"/>
    <n v="0"/>
    <n v="0"/>
    <n v="0"/>
    <n v="0"/>
    <n v="0"/>
    <n v="0"/>
    <n v="0"/>
    <n v="0"/>
    <n v="0"/>
    <n v="0"/>
    <n v="0"/>
    <n v="0"/>
    <s v="MMR012CMP048"/>
    <x v="0"/>
    <m/>
  </r>
  <r>
    <n v="77.533333333333331"/>
    <x v="6"/>
    <x v="266"/>
    <x v="0"/>
    <m/>
    <x v="0"/>
    <x v="0"/>
    <s v="Baw Du Pha"/>
    <m/>
    <m/>
    <m/>
    <m/>
    <m/>
    <m/>
    <n v="248"/>
    <m/>
    <m/>
    <m/>
    <m/>
    <m/>
    <m/>
    <m/>
    <m/>
    <m/>
    <m/>
    <m/>
    <m/>
    <m/>
    <m/>
    <n v="0"/>
    <n v="0"/>
    <n v="0"/>
    <n v="0"/>
    <n v="0"/>
    <n v="0"/>
    <n v="0"/>
    <n v="0"/>
    <n v="0"/>
    <n v="0"/>
    <n v="0"/>
    <n v="0"/>
    <n v="0"/>
    <n v="0"/>
    <n v="0"/>
    <n v="0"/>
    <s v="MMR012CMP040"/>
    <x v="4"/>
    <m/>
  </r>
  <r>
    <n v="77.533333333333331"/>
    <x v="6"/>
    <x v="266"/>
    <x v="0"/>
    <m/>
    <x v="0"/>
    <x v="0"/>
    <s v="Khaung Doke Khar "/>
    <m/>
    <m/>
    <m/>
    <m/>
    <m/>
    <m/>
    <n v="121"/>
    <m/>
    <m/>
    <m/>
    <m/>
    <m/>
    <m/>
    <m/>
    <m/>
    <m/>
    <m/>
    <m/>
    <m/>
    <m/>
    <m/>
    <n v="0"/>
    <n v="0"/>
    <n v="0"/>
    <n v="0"/>
    <n v="0"/>
    <n v="0"/>
    <n v="0"/>
    <n v="0"/>
    <n v="0"/>
    <n v="0"/>
    <n v="0"/>
    <n v="0"/>
    <n v="0"/>
    <n v="0"/>
    <n v="0"/>
    <n v="0"/>
    <s v=""/>
    <x v="1"/>
    <m/>
  </r>
  <r>
    <n v="77.566666666666663"/>
    <x v="6"/>
    <x v="267"/>
    <x v="0"/>
    <m/>
    <x v="0"/>
    <x v="0"/>
    <s v="Baw Du Pha"/>
    <m/>
    <m/>
    <m/>
    <m/>
    <m/>
    <m/>
    <n v="630"/>
    <m/>
    <m/>
    <m/>
    <m/>
    <m/>
    <m/>
    <m/>
    <m/>
    <m/>
    <m/>
    <m/>
    <m/>
    <m/>
    <m/>
    <n v="0"/>
    <n v="0"/>
    <n v="0"/>
    <n v="0"/>
    <n v="0"/>
    <n v="0"/>
    <n v="0"/>
    <n v="0"/>
    <n v="0"/>
    <n v="0"/>
    <n v="0"/>
    <n v="0"/>
    <n v="0"/>
    <n v="0"/>
    <n v="0"/>
    <n v="0"/>
    <s v="MMR012CMP040"/>
    <x v="4"/>
    <m/>
  </r>
  <r>
    <n v="77.599999999999994"/>
    <x v="6"/>
    <x v="268"/>
    <x v="0"/>
    <m/>
    <x v="0"/>
    <x v="0"/>
    <s v="Baw Du Pha"/>
    <m/>
    <m/>
    <m/>
    <m/>
    <m/>
    <m/>
    <n v="120"/>
    <m/>
    <m/>
    <m/>
    <m/>
    <m/>
    <m/>
    <m/>
    <m/>
    <m/>
    <m/>
    <m/>
    <m/>
    <m/>
    <m/>
    <n v="0"/>
    <n v="0"/>
    <n v="0"/>
    <n v="0"/>
    <n v="0"/>
    <n v="0"/>
    <n v="0"/>
    <n v="0"/>
    <n v="0"/>
    <n v="0"/>
    <n v="0"/>
    <n v="0"/>
    <n v="0"/>
    <n v="0"/>
    <n v="0"/>
    <n v="0"/>
    <s v="MMR012CMP040"/>
    <x v="4"/>
    <m/>
  </r>
  <r>
    <n v="77.63333333333334"/>
    <x v="6"/>
    <x v="269"/>
    <x v="0"/>
    <m/>
    <x v="0"/>
    <x v="0"/>
    <s v="Baw Du Pha"/>
    <m/>
    <m/>
    <m/>
    <m/>
    <m/>
    <m/>
    <n v="150"/>
    <m/>
    <m/>
    <m/>
    <m/>
    <m/>
    <m/>
    <m/>
    <m/>
    <m/>
    <m/>
    <m/>
    <m/>
    <m/>
    <m/>
    <n v="0"/>
    <n v="0"/>
    <n v="0"/>
    <n v="0"/>
    <n v="0"/>
    <n v="0"/>
    <n v="0"/>
    <n v="0"/>
    <n v="0"/>
    <n v="0"/>
    <n v="0"/>
    <n v="0"/>
    <n v="0"/>
    <n v="0"/>
    <n v="0"/>
    <n v="0"/>
    <s v="MMR012CMP040"/>
    <x v="4"/>
    <m/>
  </r>
  <r>
    <n v="77.63333333333334"/>
    <x v="6"/>
    <x v="269"/>
    <x v="0"/>
    <m/>
    <x v="0"/>
    <x v="0"/>
    <s v="Thet Kae Pyin "/>
    <m/>
    <m/>
    <m/>
    <m/>
    <m/>
    <m/>
    <n v="200"/>
    <m/>
    <m/>
    <m/>
    <m/>
    <m/>
    <m/>
    <m/>
    <m/>
    <m/>
    <m/>
    <m/>
    <m/>
    <m/>
    <m/>
    <n v="0"/>
    <n v="0"/>
    <n v="0"/>
    <n v="0"/>
    <n v="0"/>
    <n v="0"/>
    <n v="0"/>
    <n v="0"/>
    <n v="0"/>
    <n v="0"/>
    <n v="0"/>
    <n v="0"/>
    <n v="0"/>
    <n v="0"/>
    <n v="0"/>
    <n v="0"/>
    <s v="MMR012CMP048"/>
    <x v="0"/>
    <m/>
  </r>
  <r>
    <n v="77.733333333333334"/>
    <x v="6"/>
    <x v="270"/>
    <x v="0"/>
    <m/>
    <x v="0"/>
    <x v="0"/>
    <s v="Khaymarmandine"/>
    <m/>
    <m/>
    <m/>
    <m/>
    <m/>
    <m/>
    <n v="4"/>
    <m/>
    <m/>
    <m/>
    <m/>
    <m/>
    <m/>
    <m/>
    <m/>
    <m/>
    <m/>
    <m/>
    <m/>
    <m/>
    <m/>
    <n v="0"/>
    <n v="0"/>
    <n v="0"/>
    <n v="0"/>
    <n v="0"/>
    <n v="0"/>
    <n v="0"/>
    <n v="0"/>
    <n v="0"/>
    <n v="0"/>
    <n v="0"/>
    <n v="0"/>
    <n v="0"/>
    <n v="0"/>
    <n v="0"/>
    <n v="0"/>
    <s v=""/>
    <x v="1"/>
    <m/>
  </r>
  <r>
    <n v="77.766666666666666"/>
    <x v="6"/>
    <x v="271"/>
    <x v="0"/>
    <m/>
    <x v="0"/>
    <x v="0"/>
    <s v="MinnGanHighSchool"/>
    <m/>
    <m/>
    <m/>
    <m/>
    <m/>
    <m/>
    <n v="492"/>
    <m/>
    <m/>
    <m/>
    <m/>
    <m/>
    <m/>
    <m/>
    <m/>
    <m/>
    <m/>
    <m/>
    <m/>
    <m/>
    <m/>
    <n v="0"/>
    <n v="0"/>
    <n v="0"/>
    <n v="0"/>
    <n v="0"/>
    <n v="0"/>
    <n v="0"/>
    <n v="0"/>
    <n v="0"/>
    <n v="0"/>
    <n v="0"/>
    <n v="0"/>
    <n v="0"/>
    <n v="0"/>
    <n v="0"/>
    <n v="0"/>
    <s v=""/>
    <x v="1"/>
    <m/>
  </r>
  <r>
    <n v="77.8"/>
    <x v="6"/>
    <x v="272"/>
    <x v="0"/>
    <m/>
    <x v="0"/>
    <x v="0"/>
    <s v="DamaYeikThar"/>
    <m/>
    <m/>
    <m/>
    <m/>
    <m/>
    <m/>
    <n v="32"/>
    <m/>
    <m/>
    <m/>
    <m/>
    <m/>
    <m/>
    <m/>
    <m/>
    <m/>
    <m/>
    <m/>
    <m/>
    <m/>
    <m/>
    <n v="0"/>
    <n v="0"/>
    <n v="0"/>
    <n v="0"/>
    <n v="0"/>
    <n v="0"/>
    <n v="0"/>
    <n v="0"/>
    <n v="0"/>
    <n v="0"/>
    <n v="0"/>
    <n v="0"/>
    <n v="0"/>
    <n v="0"/>
    <n v="0"/>
    <n v="0"/>
    <s v=""/>
    <x v="1"/>
    <m/>
  </r>
  <r>
    <n v="77.8"/>
    <x v="6"/>
    <x v="272"/>
    <x v="0"/>
    <m/>
    <x v="0"/>
    <x v="0"/>
    <s v="MyaTheinTan"/>
    <m/>
    <m/>
    <m/>
    <m/>
    <m/>
    <m/>
    <n v="5"/>
    <m/>
    <m/>
    <m/>
    <m/>
    <m/>
    <m/>
    <m/>
    <m/>
    <m/>
    <m/>
    <m/>
    <m/>
    <m/>
    <m/>
    <n v="0"/>
    <n v="0"/>
    <n v="0"/>
    <n v="0"/>
    <n v="0"/>
    <n v="0"/>
    <n v="0"/>
    <n v="0"/>
    <n v="0"/>
    <n v="0"/>
    <n v="0"/>
    <n v="0"/>
    <n v="0"/>
    <n v="0"/>
    <n v="0"/>
    <n v="0"/>
    <s v=""/>
    <x v="1"/>
    <m/>
  </r>
  <r>
    <n v="77.8"/>
    <x v="6"/>
    <x v="272"/>
    <x v="0"/>
    <m/>
    <x v="0"/>
    <x v="0"/>
    <s v="OhnTaPin"/>
    <m/>
    <m/>
    <m/>
    <m/>
    <m/>
    <m/>
    <n v="16"/>
    <m/>
    <m/>
    <m/>
    <m/>
    <m/>
    <m/>
    <m/>
    <m/>
    <m/>
    <m/>
    <m/>
    <m/>
    <m/>
    <m/>
    <n v="0"/>
    <n v="0"/>
    <n v="0"/>
    <n v="0"/>
    <n v="0"/>
    <n v="0"/>
    <n v="0"/>
    <n v="0"/>
    <n v="0"/>
    <n v="0"/>
    <n v="0"/>
    <n v="0"/>
    <n v="0"/>
    <n v="0"/>
    <n v="0"/>
    <n v="0"/>
    <s v=""/>
    <x v="1"/>
    <m/>
  </r>
  <r>
    <n v="77.8"/>
    <x v="6"/>
    <x v="272"/>
    <x v="0"/>
    <m/>
    <x v="0"/>
    <x v="0"/>
    <s v="Tayzindayama"/>
    <m/>
    <m/>
    <m/>
    <m/>
    <m/>
    <m/>
    <n v="11"/>
    <m/>
    <m/>
    <m/>
    <m/>
    <m/>
    <m/>
    <m/>
    <m/>
    <m/>
    <m/>
    <m/>
    <m/>
    <m/>
    <m/>
    <n v="0"/>
    <n v="0"/>
    <n v="0"/>
    <n v="0"/>
    <n v="0"/>
    <n v="0"/>
    <n v="0"/>
    <n v="0"/>
    <n v="0"/>
    <n v="0"/>
    <n v="0"/>
    <n v="0"/>
    <n v="0"/>
    <n v="0"/>
    <n v="0"/>
    <n v="0"/>
    <s v=""/>
    <x v="1"/>
    <m/>
  </r>
  <r>
    <n v="77.8"/>
    <x v="6"/>
    <x v="272"/>
    <x v="0"/>
    <m/>
    <x v="0"/>
    <x v="0"/>
    <s v="Weikzar Thaikdi Monastery"/>
    <m/>
    <m/>
    <m/>
    <m/>
    <m/>
    <m/>
    <n v="20"/>
    <m/>
    <m/>
    <m/>
    <m/>
    <m/>
    <m/>
    <m/>
    <m/>
    <m/>
    <m/>
    <m/>
    <m/>
    <m/>
    <m/>
    <n v="0"/>
    <n v="0"/>
    <n v="0"/>
    <n v="0"/>
    <n v="0"/>
    <n v="0"/>
    <n v="0"/>
    <n v="0"/>
    <n v="0"/>
    <n v="0"/>
    <n v="0"/>
    <n v="0"/>
    <n v="0"/>
    <n v="0"/>
    <n v="0"/>
    <n v="0"/>
    <s v="MMR012CMP075"/>
    <x v="4"/>
    <m/>
  </r>
  <r>
    <n v="77.8"/>
    <x v="6"/>
    <x v="272"/>
    <x v="0"/>
    <m/>
    <x v="0"/>
    <x v="0"/>
    <s v="YadaNarMinDaing"/>
    <m/>
    <m/>
    <m/>
    <m/>
    <m/>
    <m/>
    <n v="2"/>
    <m/>
    <m/>
    <m/>
    <m/>
    <m/>
    <m/>
    <m/>
    <m/>
    <m/>
    <m/>
    <m/>
    <m/>
    <m/>
    <m/>
    <n v="0"/>
    <n v="0"/>
    <n v="0"/>
    <n v="0"/>
    <n v="0"/>
    <n v="0"/>
    <n v="0"/>
    <n v="0"/>
    <n v="0"/>
    <n v="0"/>
    <n v="0"/>
    <n v="0"/>
    <n v="0"/>
    <n v="0"/>
    <n v="0"/>
    <n v="0"/>
    <s v=""/>
    <x v="1"/>
    <m/>
  </r>
  <r>
    <n v="77.833333333333329"/>
    <x v="6"/>
    <x v="273"/>
    <x v="0"/>
    <m/>
    <x v="0"/>
    <x v="0"/>
    <s v="Bamgalar A Wa Kune"/>
    <m/>
    <m/>
    <m/>
    <m/>
    <m/>
    <m/>
    <n v="5"/>
    <m/>
    <m/>
    <m/>
    <m/>
    <m/>
    <m/>
    <m/>
    <m/>
    <m/>
    <m/>
    <m/>
    <m/>
    <m/>
    <m/>
    <n v="0"/>
    <n v="0"/>
    <n v="0"/>
    <n v="0"/>
    <n v="0"/>
    <n v="0"/>
    <n v="0"/>
    <n v="0"/>
    <n v="0"/>
    <n v="0"/>
    <n v="0"/>
    <n v="0"/>
    <n v="0"/>
    <n v="0"/>
    <n v="0"/>
    <n v="0"/>
    <s v=""/>
    <x v="1"/>
    <m/>
  </r>
  <r>
    <n v="77.833333333333329"/>
    <x v="6"/>
    <x v="273"/>
    <x v="0"/>
    <m/>
    <x v="0"/>
    <x v="0"/>
    <s v="Dama Yar Ma"/>
    <m/>
    <m/>
    <m/>
    <m/>
    <m/>
    <m/>
    <n v="10"/>
    <m/>
    <m/>
    <m/>
    <m/>
    <m/>
    <m/>
    <m/>
    <m/>
    <m/>
    <m/>
    <m/>
    <m/>
    <m/>
    <m/>
    <n v="0"/>
    <n v="0"/>
    <n v="0"/>
    <n v="0"/>
    <n v="0"/>
    <n v="0"/>
    <n v="0"/>
    <n v="0"/>
    <n v="0"/>
    <n v="0"/>
    <n v="0"/>
    <n v="0"/>
    <n v="0"/>
    <n v="0"/>
    <n v="0"/>
    <n v="0"/>
    <s v=""/>
    <x v="1"/>
    <m/>
  </r>
  <r>
    <n v="77.833333333333329"/>
    <x v="6"/>
    <x v="273"/>
    <x v="0"/>
    <m/>
    <x v="0"/>
    <x v="0"/>
    <s v="Ka Yu Chaung"/>
    <m/>
    <m/>
    <m/>
    <m/>
    <m/>
    <m/>
    <n v="26"/>
    <m/>
    <m/>
    <m/>
    <m/>
    <m/>
    <m/>
    <m/>
    <m/>
    <m/>
    <m/>
    <m/>
    <m/>
    <m/>
    <m/>
    <n v="0"/>
    <n v="0"/>
    <n v="0"/>
    <n v="0"/>
    <n v="0"/>
    <n v="0"/>
    <n v="0"/>
    <n v="0"/>
    <n v="0"/>
    <n v="0"/>
    <n v="0"/>
    <n v="0"/>
    <n v="0"/>
    <n v="0"/>
    <n v="0"/>
    <n v="0"/>
    <s v=""/>
    <x v="1"/>
    <m/>
  </r>
  <r>
    <n v="77.833333333333329"/>
    <x v="6"/>
    <x v="273"/>
    <x v="0"/>
    <m/>
    <x v="0"/>
    <x v="0"/>
    <s v="Kha Maung Taw"/>
    <m/>
    <m/>
    <m/>
    <m/>
    <m/>
    <m/>
    <n v="12"/>
    <m/>
    <m/>
    <m/>
    <m/>
    <m/>
    <m/>
    <m/>
    <m/>
    <m/>
    <m/>
    <m/>
    <m/>
    <m/>
    <m/>
    <n v="0"/>
    <n v="0"/>
    <n v="0"/>
    <n v="0"/>
    <n v="0"/>
    <n v="0"/>
    <n v="0"/>
    <n v="0"/>
    <n v="0"/>
    <n v="0"/>
    <n v="0"/>
    <n v="0"/>
    <n v="0"/>
    <n v="0"/>
    <n v="0"/>
    <n v="0"/>
    <s v=""/>
    <x v="1"/>
    <m/>
  </r>
  <r>
    <n v="77.833333333333329"/>
    <x v="6"/>
    <x v="273"/>
    <x v="0"/>
    <m/>
    <x v="0"/>
    <x v="0"/>
    <s v="KyaungGyiLan"/>
    <m/>
    <m/>
    <m/>
    <m/>
    <m/>
    <m/>
    <n v="23"/>
    <m/>
    <m/>
    <m/>
    <m/>
    <m/>
    <m/>
    <m/>
    <m/>
    <m/>
    <m/>
    <m/>
    <m/>
    <m/>
    <m/>
    <n v="0"/>
    <n v="0"/>
    <n v="0"/>
    <n v="0"/>
    <n v="0"/>
    <n v="0"/>
    <n v="0"/>
    <n v="0"/>
    <n v="0"/>
    <n v="0"/>
    <n v="0"/>
    <n v="0"/>
    <n v="0"/>
    <n v="0"/>
    <n v="0"/>
    <n v="0"/>
    <s v=""/>
    <x v="1"/>
    <m/>
  </r>
  <r>
    <n v="77.833333333333329"/>
    <x v="6"/>
    <x v="273"/>
    <x v="0"/>
    <m/>
    <x v="0"/>
    <x v="0"/>
    <s v="MaYarMaGyi-old"/>
    <m/>
    <m/>
    <m/>
    <m/>
    <m/>
    <m/>
    <n v="36"/>
    <m/>
    <m/>
    <m/>
    <m/>
    <m/>
    <m/>
    <m/>
    <m/>
    <m/>
    <m/>
    <m/>
    <m/>
    <m/>
    <m/>
    <n v="0"/>
    <n v="0"/>
    <n v="0"/>
    <n v="0"/>
    <n v="0"/>
    <n v="0"/>
    <n v="0"/>
    <n v="0"/>
    <n v="0"/>
    <n v="0"/>
    <n v="0"/>
    <n v="0"/>
    <n v="0"/>
    <n v="0"/>
    <n v="0"/>
    <n v="0"/>
    <s v=""/>
    <x v="1"/>
    <m/>
  </r>
  <r>
    <n v="77.833333333333329"/>
    <x v="6"/>
    <x v="273"/>
    <x v="0"/>
    <m/>
    <x v="0"/>
    <x v="0"/>
    <s v="PyinNyarLinkarya"/>
    <m/>
    <m/>
    <m/>
    <m/>
    <m/>
    <m/>
    <n v="33"/>
    <m/>
    <m/>
    <m/>
    <m/>
    <m/>
    <m/>
    <m/>
    <m/>
    <m/>
    <m/>
    <m/>
    <m/>
    <m/>
    <m/>
    <n v="0"/>
    <n v="0"/>
    <n v="0"/>
    <n v="0"/>
    <n v="0"/>
    <n v="0"/>
    <n v="0"/>
    <n v="0"/>
    <n v="0"/>
    <n v="0"/>
    <n v="0"/>
    <n v="0"/>
    <n v="0"/>
    <n v="0"/>
    <n v="0"/>
    <n v="0"/>
    <s v=""/>
    <x v="1"/>
    <m/>
  </r>
  <r>
    <n v="77.833333333333329"/>
    <x v="6"/>
    <x v="273"/>
    <x v="0"/>
    <m/>
    <x v="0"/>
    <x v="0"/>
    <s v="Shwe Pyar"/>
    <m/>
    <m/>
    <m/>
    <m/>
    <m/>
    <m/>
    <n v="3"/>
    <m/>
    <m/>
    <m/>
    <m/>
    <m/>
    <m/>
    <m/>
    <m/>
    <m/>
    <m/>
    <m/>
    <m/>
    <m/>
    <m/>
    <n v="0"/>
    <n v="0"/>
    <n v="0"/>
    <n v="0"/>
    <n v="0"/>
    <n v="0"/>
    <n v="0"/>
    <n v="0"/>
    <n v="0"/>
    <n v="0"/>
    <n v="0"/>
    <n v="0"/>
    <n v="0"/>
    <n v="0"/>
    <n v="0"/>
    <n v="0"/>
    <s v=""/>
    <x v="1"/>
    <m/>
  </r>
  <r>
    <n v="77.833333333333329"/>
    <x v="6"/>
    <x v="273"/>
    <x v="0"/>
    <m/>
    <x v="0"/>
    <x v="0"/>
    <s v="Theit Di Kar Yone Monastery"/>
    <m/>
    <m/>
    <m/>
    <m/>
    <m/>
    <m/>
    <n v="27"/>
    <m/>
    <m/>
    <m/>
    <m/>
    <m/>
    <m/>
    <m/>
    <m/>
    <m/>
    <m/>
    <m/>
    <m/>
    <m/>
    <m/>
    <n v="0"/>
    <n v="0"/>
    <n v="0"/>
    <n v="0"/>
    <n v="0"/>
    <n v="0"/>
    <n v="0"/>
    <n v="0"/>
    <n v="0"/>
    <n v="0"/>
    <n v="0"/>
    <n v="0"/>
    <n v="0"/>
    <n v="0"/>
    <n v="0"/>
    <n v="0"/>
    <s v="MMR012CMP067"/>
    <x v="4"/>
    <m/>
  </r>
  <r>
    <n v="77.833333333333329"/>
    <x v="6"/>
    <x v="273"/>
    <x v="0"/>
    <m/>
    <x v="0"/>
    <x v="0"/>
    <s v="Uwa Ya Ma"/>
    <m/>
    <m/>
    <m/>
    <m/>
    <m/>
    <m/>
    <n v="19"/>
    <m/>
    <m/>
    <m/>
    <m/>
    <m/>
    <m/>
    <m/>
    <m/>
    <m/>
    <m/>
    <m/>
    <m/>
    <m/>
    <m/>
    <n v="0"/>
    <n v="0"/>
    <n v="0"/>
    <n v="0"/>
    <n v="0"/>
    <n v="0"/>
    <n v="0"/>
    <n v="0"/>
    <n v="0"/>
    <n v="0"/>
    <n v="0"/>
    <n v="0"/>
    <n v="0"/>
    <n v="0"/>
    <n v="0"/>
    <n v="0"/>
    <s v=""/>
    <x v="1"/>
    <m/>
  </r>
  <r>
    <n v="77.900000000000006"/>
    <x v="6"/>
    <x v="274"/>
    <x v="0"/>
    <m/>
    <x v="0"/>
    <x v="0"/>
    <s v="Kyar Yoke"/>
    <m/>
    <m/>
    <m/>
    <m/>
    <m/>
    <m/>
    <n v="33"/>
    <m/>
    <m/>
    <m/>
    <m/>
    <m/>
    <m/>
    <m/>
    <m/>
    <m/>
    <m/>
    <m/>
    <m/>
    <m/>
    <m/>
    <n v="0"/>
    <n v="0"/>
    <n v="0"/>
    <n v="0"/>
    <n v="0"/>
    <n v="0"/>
    <n v="0"/>
    <n v="0"/>
    <n v="0"/>
    <n v="0"/>
    <n v="0"/>
    <n v="0"/>
    <n v="0"/>
    <n v="0"/>
    <n v="0"/>
    <n v="0"/>
    <s v=""/>
    <x v="1"/>
    <m/>
  </r>
  <r>
    <n v="77.900000000000006"/>
    <x v="6"/>
    <x v="274"/>
    <x v="0"/>
    <m/>
    <x v="0"/>
    <x v="0"/>
    <s v="Layaungwin Monastery"/>
    <m/>
    <m/>
    <m/>
    <m/>
    <m/>
    <m/>
    <n v="9"/>
    <m/>
    <m/>
    <m/>
    <m/>
    <m/>
    <m/>
    <m/>
    <m/>
    <m/>
    <m/>
    <m/>
    <m/>
    <m/>
    <m/>
    <n v="0"/>
    <n v="0"/>
    <n v="0"/>
    <n v="0"/>
    <n v="0"/>
    <n v="0"/>
    <n v="0"/>
    <n v="0"/>
    <n v="0"/>
    <n v="0"/>
    <n v="0"/>
    <n v="0"/>
    <n v="0"/>
    <n v="0"/>
    <n v="0"/>
    <n v="0"/>
    <s v="MMR012CMP062"/>
    <x v="4"/>
    <m/>
  </r>
  <r>
    <n v="77.900000000000006"/>
    <x v="6"/>
    <x v="274"/>
    <x v="0"/>
    <m/>
    <x v="0"/>
    <x v="0"/>
    <s v="Shwe Zay Ti Monastery"/>
    <m/>
    <m/>
    <m/>
    <m/>
    <m/>
    <m/>
    <n v="201"/>
    <m/>
    <m/>
    <m/>
    <m/>
    <m/>
    <m/>
    <m/>
    <m/>
    <m/>
    <m/>
    <m/>
    <m/>
    <m/>
    <m/>
    <n v="0"/>
    <n v="0"/>
    <n v="0"/>
    <n v="0"/>
    <n v="0"/>
    <n v="0"/>
    <n v="0"/>
    <n v="0"/>
    <n v="0"/>
    <n v="0"/>
    <n v="0"/>
    <n v="0"/>
    <n v="0"/>
    <n v="0"/>
    <n v="0"/>
    <n v="0"/>
    <s v="MMR012CMP065"/>
    <x v="4"/>
    <m/>
  </r>
  <r>
    <n v="77.900000000000006"/>
    <x v="6"/>
    <x v="274"/>
    <x v="0"/>
    <m/>
    <x v="0"/>
    <x v="0"/>
    <s v="Ya Tayar Monastery"/>
    <m/>
    <m/>
    <m/>
    <m/>
    <m/>
    <m/>
    <n v="52"/>
    <m/>
    <m/>
    <m/>
    <m/>
    <m/>
    <m/>
    <m/>
    <m/>
    <m/>
    <m/>
    <m/>
    <m/>
    <m/>
    <m/>
    <n v="0"/>
    <n v="0"/>
    <n v="0"/>
    <n v="0"/>
    <n v="0"/>
    <n v="0"/>
    <n v="0"/>
    <n v="0"/>
    <n v="0"/>
    <n v="0"/>
    <n v="0"/>
    <n v="0"/>
    <n v="0"/>
    <n v="0"/>
    <n v="0"/>
    <n v="0"/>
    <s v="MMR012CMP074"/>
    <x v="4"/>
    <m/>
  </r>
  <r>
    <n v="77.966666666666669"/>
    <x v="6"/>
    <x v="275"/>
    <x v="0"/>
    <m/>
    <x v="0"/>
    <x v="0"/>
    <s v="Ar Thaw Ka Yone Monastery"/>
    <m/>
    <m/>
    <m/>
    <m/>
    <m/>
    <m/>
    <n v="43"/>
    <m/>
    <m/>
    <m/>
    <m/>
    <m/>
    <m/>
    <m/>
    <m/>
    <m/>
    <m/>
    <m/>
    <m/>
    <m/>
    <m/>
    <n v="0"/>
    <n v="0"/>
    <n v="0"/>
    <n v="0"/>
    <n v="0"/>
    <n v="0"/>
    <n v="0"/>
    <n v="0"/>
    <n v="0"/>
    <n v="0"/>
    <n v="0"/>
    <n v="0"/>
    <n v="0"/>
    <n v="0"/>
    <n v="0"/>
    <n v="0"/>
    <s v="MMR012CMP069"/>
    <x v="4"/>
    <m/>
  </r>
  <r>
    <n v="77.966666666666669"/>
    <x v="6"/>
    <x v="275"/>
    <x v="0"/>
    <m/>
    <x v="0"/>
    <x v="0"/>
    <s v="Boke Daw Maw"/>
    <m/>
    <m/>
    <m/>
    <m/>
    <m/>
    <m/>
    <n v="171"/>
    <m/>
    <m/>
    <m/>
    <m/>
    <m/>
    <m/>
    <m/>
    <m/>
    <m/>
    <m/>
    <m/>
    <m/>
    <m/>
    <m/>
    <n v="0"/>
    <n v="0"/>
    <n v="0"/>
    <n v="0"/>
    <n v="0"/>
    <n v="0"/>
    <n v="0"/>
    <n v="0"/>
    <n v="0"/>
    <n v="0"/>
    <n v="0"/>
    <n v="0"/>
    <n v="0"/>
    <n v="0"/>
    <n v="0"/>
    <n v="0"/>
    <s v=""/>
    <x v="1"/>
    <m/>
  </r>
  <r>
    <n v="77.966666666666669"/>
    <x v="6"/>
    <x v="275"/>
    <x v="0"/>
    <m/>
    <x v="0"/>
    <x v="0"/>
    <s v="Dar Pai"/>
    <m/>
    <m/>
    <m/>
    <m/>
    <m/>
    <m/>
    <n v="18"/>
    <m/>
    <m/>
    <m/>
    <m/>
    <m/>
    <m/>
    <m/>
    <m/>
    <m/>
    <m/>
    <m/>
    <m/>
    <m/>
    <m/>
    <n v="0"/>
    <n v="0"/>
    <n v="0"/>
    <n v="0"/>
    <n v="0"/>
    <n v="0"/>
    <n v="0"/>
    <n v="0"/>
    <n v="0"/>
    <n v="0"/>
    <n v="0"/>
    <n v="0"/>
    <n v="0"/>
    <n v="0"/>
    <n v="0"/>
    <n v="0"/>
    <s v="MMR012CMP041"/>
    <x v="0"/>
    <m/>
  </r>
  <r>
    <n v="77.966666666666669"/>
    <x v="6"/>
    <x v="275"/>
    <x v="0"/>
    <m/>
    <x v="0"/>
    <x v="0"/>
    <s v="Gyit Bak Monastery"/>
    <m/>
    <m/>
    <m/>
    <m/>
    <m/>
    <m/>
    <n v="36"/>
    <m/>
    <m/>
    <m/>
    <m/>
    <m/>
    <m/>
    <m/>
    <m/>
    <m/>
    <m/>
    <m/>
    <m/>
    <m/>
    <m/>
    <n v="0"/>
    <n v="0"/>
    <n v="0"/>
    <n v="0"/>
    <n v="0"/>
    <n v="0"/>
    <n v="0"/>
    <n v="0"/>
    <n v="0"/>
    <n v="0"/>
    <n v="0"/>
    <n v="0"/>
    <n v="0"/>
    <n v="0"/>
    <n v="0"/>
    <n v="0"/>
    <s v="MMR012CMP073"/>
    <x v="4"/>
    <m/>
  </r>
  <r>
    <n v="77.966666666666669"/>
    <x v="6"/>
    <x v="275"/>
    <x v="0"/>
    <m/>
    <x v="0"/>
    <x v="0"/>
    <s v="Gyit Chay Monastery"/>
    <m/>
    <m/>
    <m/>
    <m/>
    <m/>
    <m/>
    <n v="69"/>
    <m/>
    <m/>
    <m/>
    <m/>
    <m/>
    <m/>
    <m/>
    <m/>
    <m/>
    <m/>
    <m/>
    <m/>
    <m/>
    <m/>
    <n v="0"/>
    <n v="0"/>
    <n v="0"/>
    <n v="0"/>
    <n v="0"/>
    <n v="0"/>
    <n v="0"/>
    <n v="0"/>
    <n v="0"/>
    <n v="0"/>
    <n v="0"/>
    <n v="0"/>
    <n v="0"/>
    <n v="0"/>
    <n v="0"/>
    <n v="0"/>
    <s v="MMR012CMP061"/>
    <x v="4"/>
    <m/>
  </r>
  <r>
    <n v="77.966666666666669"/>
    <x v="6"/>
    <x v="275"/>
    <x v="0"/>
    <m/>
    <x v="0"/>
    <x v="0"/>
    <s v="Khaung Doke Khar "/>
    <m/>
    <m/>
    <m/>
    <m/>
    <m/>
    <m/>
    <n v="132"/>
    <m/>
    <m/>
    <m/>
    <m/>
    <m/>
    <m/>
    <m/>
    <m/>
    <m/>
    <m/>
    <m/>
    <m/>
    <m/>
    <m/>
    <n v="0"/>
    <n v="0"/>
    <n v="0"/>
    <n v="0"/>
    <n v="0"/>
    <n v="0"/>
    <n v="0"/>
    <n v="0"/>
    <n v="0"/>
    <n v="0"/>
    <n v="0"/>
    <n v="0"/>
    <n v="0"/>
    <n v="0"/>
    <n v="0"/>
    <n v="0"/>
    <s v=""/>
    <x v="1"/>
    <m/>
  </r>
  <r>
    <n v="77.966666666666669"/>
    <x v="6"/>
    <x v="275"/>
    <x v="0"/>
    <m/>
    <x v="0"/>
    <x v="0"/>
    <s v="Su Taung Pyae Monastery"/>
    <m/>
    <m/>
    <m/>
    <m/>
    <m/>
    <m/>
    <n v="280"/>
    <m/>
    <m/>
    <m/>
    <m/>
    <m/>
    <m/>
    <m/>
    <m/>
    <m/>
    <m/>
    <m/>
    <m/>
    <m/>
    <m/>
    <n v="0"/>
    <n v="0"/>
    <n v="0"/>
    <n v="0"/>
    <n v="0"/>
    <n v="0"/>
    <n v="0"/>
    <n v="0"/>
    <n v="0"/>
    <n v="0"/>
    <n v="0"/>
    <n v="0"/>
    <n v="0"/>
    <n v="0"/>
    <n v="0"/>
    <n v="0"/>
    <s v="MMR012CMP066"/>
    <x v="4"/>
    <m/>
  </r>
  <r>
    <n v="78.13333333333334"/>
    <x v="6"/>
    <x v="276"/>
    <x v="0"/>
    <m/>
    <x v="0"/>
    <x v="0"/>
    <s v="Danyawaddy Baw Lone Kwin"/>
    <m/>
    <m/>
    <m/>
    <m/>
    <m/>
    <m/>
    <n v="103"/>
    <m/>
    <m/>
    <m/>
    <m/>
    <m/>
    <m/>
    <m/>
    <m/>
    <m/>
    <m/>
    <m/>
    <m/>
    <m/>
    <m/>
    <n v="0"/>
    <n v="0"/>
    <n v="0"/>
    <n v="0"/>
    <n v="0"/>
    <n v="0"/>
    <n v="0"/>
    <n v="0"/>
    <n v="0"/>
    <n v="0"/>
    <n v="0"/>
    <n v="0"/>
    <n v="0"/>
    <n v="0"/>
    <n v="0"/>
    <n v="0"/>
    <s v="MMR012CMP055"/>
    <x v="4"/>
    <m/>
  </r>
  <r>
    <n v="78.13333333333334"/>
    <x v="6"/>
    <x v="276"/>
    <x v="0"/>
    <m/>
    <x v="0"/>
    <x v="0"/>
    <s v="Khaung Laung"/>
    <m/>
    <m/>
    <m/>
    <m/>
    <m/>
    <m/>
    <n v="36"/>
    <m/>
    <m/>
    <m/>
    <m/>
    <m/>
    <m/>
    <m/>
    <m/>
    <m/>
    <m/>
    <m/>
    <m/>
    <m/>
    <m/>
    <n v="0"/>
    <n v="0"/>
    <n v="0"/>
    <n v="0"/>
    <n v="0"/>
    <n v="0"/>
    <n v="0"/>
    <n v="0"/>
    <n v="0"/>
    <n v="0"/>
    <n v="0"/>
    <n v="0"/>
    <n v="0"/>
    <n v="0"/>
    <n v="0"/>
    <n v="0"/>
    <s v=""/>
    <x v="1"/>
    <m/>
  </r>
  <r>
    <n v="78.13333333333334"/>
    <x v="6"/>
    <x v="276"/>
    <x v="0"/>
    <m/>
    <x v="0"/>
    <x v="0"/>
    <s v="Nyar Ni Kar Ya Ma"/>
    <m/>
    <m/>
    <m/>
    <m/>
    <m/>
    <m/>
    <n v="36"/>
    <m/>
    <m/>
    <m/>
    <m/>
    <m/>
    <m/>
    <m/>
    <m/>
    <m/>
    <m/>
    <m/>
    <m/>
    <m/>
    <m/>
    <n v="0"/>
    <n v="0"/>
    <n v="0"/>
    <n v="0"/>
    <n v="0"/>
    <n v="0"/>
    <n v="0"/>
    <n v="0"/>
    <n v="0"/>
    <n v="0"/>
    <n v="0"/>
    <n v="0"/>
    <n v="0"/>
    <n v="0"/>
    <n v="0"/>
    <n v="0"/>
    <s v=""/>
    <x v="1"/>
    <m/>
  </r>
  <r>
    <n v="78.13333333333334"/>
    <x v="6"/>
    <x v="276"/>
    <x v="0"/>
    <m/>
    <x v="0"/>
    <x v="0"/>
    <s v="Pyin Nyar Mandine Monastery"/>
    <m/>
    <m/>
    <m/>
    <m/>
    <m/>
    <m/>
    <n v="9"/>
    <m/>
    <m/>
    <m/>
    <m/>
    <m/>
    <m/>
    <m/>
    <m/>
    <m/>
    <m/>
    <m/>
    <m/>
    <m/>
    <m/>
    <n v="0"/>
    <n v="0"/>
    <n v="0"/>
    <n v="0"/>
    <n v="0"/>
    <n v="0"/>
    <n v="0"/>
    <n v="0"/>
    <n v="0"/>
    <n v="0"/>
    <n v="0"/>
    <n v="0"/>
    <n v="0"/>
    <n v="0"/>
    <n v="0"/>
    <n v="0"/>
    <s v="MMR012CMP064"/>
    <x v="4"/>
    <m/>
  </r>
  <r>
    <n v="78.13333333333334"/>
    <x v="6"/>
    <x v="276"/>
    <x v="0"/>
    <m/>
    <x v="0"/>
    <x v="0"/>
    <s v="TanTan"/>
    <m/>
    <m/>
    <m/>
    <m/>
    <m/>
    <m/>
    <n v="20"/>
    <m/>
    <m/>
    <m/>
    <m/>
    <m/>
    <m/>
    <m/>
    <m/>
    <m/>
    <m/>
    <m/>
    <m/>
    <m/>
    <m/>
    <n v="0"/>
    <n v="0"/>
    <n v="0"/>
    <n v="0"/>
    <n v="0"/>
    <n v="0"/>
    <n v="0"/>
    <n v="0"/>
    <n v="0"/>
    <n v="0"/>
    <n v="0"/>
    <n v="0"/>
    <n v="0"/>
    <n v="0"/>
    <n v="0"/>
    <n v="0"/>
    <s v=""/>
    <x v="1"/>
    <m/>
  </r>
  <r>
    <n v="78.13333333333334"/>
    <x v="6"/>
    <x v="276"/>
    <x v="0"/>
    <m/>
    <x v="0"/>
    <x v="0"/>
    <s v="Tha Ma Da ZTK"/>
    <m/>
    <m/>
    <m/>
    <m/>
    <m/>
    <m/>
    <n v="35"/>
    <m/>
    <m/>
    <m/>
    <m/>
    <m/>
    <m/>
    <m/>
    <m/>
    <m/>
    <m/>
    <m/>
    <m/>
    <m/>
    <m/>
    <n v="0"/>
    <n v="0"/>
    <n v="0"/>
    <n v="0"/>
    <n v="0"/>
    <n v="0"/>
    <n v="0"/>
    <n v="0"/>
    <n v="0"/>
    <n v="0"/>
    <n v="0"/>
    <n v="0"/>
    <n v="0"/>
    <n v="0"/>
    <n v="0"/>
    <n v="0"/>
    <s v=""/>
    <x v="1"/>
    <m/>
  </r>
  <r>
    <n v="78.166666666666671"/>
    <x v="6"/>
    <x v="277"/>
    <x v="0"/>
    <m/>
    <x v="0"/>
    <x v="0"/>
    <s v="Dak Kaung Monastery"/>
    <m/>
    <m/>
    <m/>
    <m/>
    <m/>
    <m/>
    <n v="66"/>
    <m/>
    <m/>
    <m/>
    <m/>
    <m/>
    <m/>
    <m/>
    <m/>
    <m/>
    <m/>
    <m/>
    <m/>
    <m/>
    <m/>
    <n v="0"/>
    <n v="0"/>
    <n v="0"/>
    <n v="0"/>
    <n v="0"/>
    <n v="0"/>
    <n v="0"/>
    <n v="0"/>
    <n v="0"/>
    <n v="0"/>
    <n v="0"/>
    <n v="0"/>
    <n v="0"/>
    <n v="0"/>
    <n v="0"/>
    <n v="0"/>
    <s v="MMR012CMP059"/>
    <x v="4"/>
    <m/>
  </r>
  <r>
    <n v="78.166666666666671"/>
    <x v="6"/>
    <x v="277"/>
    <x v="0"/>
    <m/>
    <x v="0"/>
    <x v="0"/>
    <s v="Mahar Zay Ya Theik"/>
    <m/>
    <m/>
    <m/>
    <m/>
    <m/>
    <m/>
    <n v="37"/>
    <m/>
    <m/>
    <m/>
    <m/>
    <m/>
    <m/>
    <m/>
    <m/>
    <m/>
    <m/>
    <m/>
    <m/>
    <m/>
    <m/>
    <n v="0"/>
    <n v="0"/>
    <n v="0"/>
    <n v="0"/>
    <n v="0"/>
    <n v="0"/>
    <n v="0"/>
    <n v="0"/>
    <n v="0"/>
    <n v="0"/>
    <n v="0"/>
    <n v="0"/>
    <n v="0"/>
    <n v="0"/>
    <n v="0"/>
    <n v="0"/>
    <s v=""/>
    <x v="1"/>
    <m/>
  </r>
  <r>
    <n v="78.166666666666671"/>
    <x v="6"/>
    <x v="277"/>
    <x v="0"/>
    <m/>
    <x v="0"/>
    <x v="0"/>
    <s v="Myo Ma Monastery"/>
    <m/>
    <m/>
    <m/>
    <m/>
    <m/>
    <m/>
    <n v="66"/>
    <m/>
    <m/>
    <m/>
    <m/>
    <m/>
    <m/>
    <m/>
    <m/>
    <m/>
    <m/>
    <m/>
    <m/>
    <m/>
    <m/>
    <n v="0"/>
    <n v="0"/>
    <n v="0"/>
    <n v="0"/>
    <n v="0"/>
    <n v="0"/>
    <n v="0"/>
    <n v="0"/>
    <n v="0"/>
    <n v="0"/>
    <n v="0"/>
    <n v="0"/>
    <n v="0"/>
    <n v="0"/>
    <n v="0"/>
    <n v="0"/>
    <s v="MMR012CMP063"/>
    <x v="4"/>
    <m/>
  </r>
  <r>
    <n v="78.166666666666671"/>
    <x v="6"/>
    <x v="277"/>
    <x v="0"/>
    <m/>
    <x v="0"/>
    <x v="0"/>
    <s v="Sin Ku Lann Monastery"/>
    <m/>
    <m/>
    <m/>
    <m/>
    <m/>
    <m/>
    <n v="62"/>
    <m/>
    <m/>
    <m/>
    <m/>
    <m/>
    <m/>
    <m/>
    <m/>
    <m/>
    <m/>
    <m/>
    <m/>
    <m/>
    <m/>
    <n v="0"/>
    <n v="0"/>
    <n v="0"/>
    <n v="0"/>
    <n v="0"/>
    <n v="0"/>
    <n v="0"/>
    <n v="0"/>
    <n v="0"/>
    <n v="0"/>
    <n v="0"/>
    <n v="0"/>
    <n v="0"/>
    <n v="0"/>
    <n v="0"/>
    <n v="0"/>
    <s v="MMR012CMP068"/>
    <x v="4"/>
    <m/>
  </r>
  <r>
    <n v="78.166666666666671"/>
    <x v="6"/>
    <x v="277"/>
    <x v="0"/>
    <m/>
    <x v="0"/>
    <x v="0"/>
    <s v="Thet Kae Pyin "/>
    <m/>
    <m/>
    <m/>
    <m/>
    <m/>
    <m/>
    <n v="200"/>
    <m/>
    <m/>
    <m/>
    <m/>
    <m/>
    <m/>
    <m/>
    <m/>
    <m/>
    <m/>
    <m/>
    <m/>
    <m/>
    <m/>
    <n v="0"/>
    <n v="0"/>
    <n v="0"/>
    <n v="0"/>
    <n v="0"/>
    <n v="0"/>
    <n v="0"/>
    <n v="0"/>
    <n v="0"/>
    <n v="0"/>
    <n v="0"/>
    <n v="0"/>
    <n v="0"/>
    <n v="0"/>
    <n v="0"/>
    <n v="0"/>
    <s v="MMR012CMP048"/>
    <x v="0"/>
    <m/>
  </r>
  <r>
    <n v="78.2"/>
    <x v="6"/>
    <x v="278"/>
    <x v="0"/>
    <m/>
    <x v="0"/>
    <x v="0"/>
    <s v="Da Ma Set Kyar"/>
    <m/>
    <m/>
    <m/>
    <m/>
    <m/>
    <m/>
    <n v="52"/>
    <m/>
    <m/>
    <m/>
    <m/>
    <m/>
    <m/>
    <m/>
    <m/>
    <m/>
    <m/>
    <m/>
    <m/>
    <m/>
    <m/>
    <n v="0"/>
    <n v="0"/>
    <n v="0"/>
    <n v="0"/>
    <n v="0"/>
    <n v="0"/>
    <n v="0"/>
    <n v="0"/>
    <n v="0"/>
    <n v="0"/>
    <n v="0"/>
    <n v="0"/>
    <n v="0"/>
    <n v="0"/>
    <n v="0"/>
    <n v="0"/>
    <s v=""/>
    <x v="1"/>
    <m/>
  </r>
  <r>
    <n v="78.2"/>
    <x v="6"/>
    <x v="278"/>
    <x v="0"/>
    <m/>
    <x v="0"/>
    <x v="0"/>
    <s v="Dar Pai"/>
    <m/>
    <m/>
    <m/>
    <m/>
    <m/>
    <m/>
    <n v="300"/>
    <m/>
    <m/>
    <m/>
    <m/>
    <m/>
    <m/>
    <m/>
    <m/>
    <m/>
    <m/>
    <m/>
    <m/>
    <m/>
    <m/>
    <n v="0"/>
    <n v="0"/>
    <n v="0"/>
    <n v="0"/>
    <n v="0"/>
    <n v="0"/>
    <n v="0"/>
    <n v="0"/>
    <n v="0"/>
    <n v="0"/>
    <n v="0"/>
    <n v="0"/>
    <n v="0"/>
    <n v="0"/>
    <n v="0"/>
    <n v="0"/>
    <s v="MMR012CMP041"/>
    <x v="0"/>
    <m/>
  </r>
  <r>
    <n v="78.2"/>
    <x v="6"/>
    <x v="278"/>
    <x v="0"/>
    <m/>
    <x v="0"/>
    <x v="0"/>
    <s v="Kaw Nyar Na"/>
    <m/>
    <m/>
    <m/>
    <m/>
    <m/>
    <m/>
    <n v="9"/>
    <m/>
    <m/>
    <m/>
    <m/>
    <m/>
    <m/>
    <m/>
    <m/>
    <m/>
    <m/>
    <m/>
    <m/>
    <m/>
    <m/>
    <n v="0"/>
    <n v="0"/>
    <n v="0"/>
    <n v="0"/>
    <n v="0"/>
    <n v="0"/>
    <n v="0"/>
    <n v="0"/>
    <n v="0"/>
    <n v="0"/>
    <n v="0"/>
    <n v="0"/>
    <n v="0"/>
    <n v="0"/>
    <n v="0"/>
    <n v="0"/>
    <s v=""/>
    <x v="1"/>
    <m/>
  </r>
  <r>
    <n v="78.2"/>
    <x v="6"/>
    <x v="278"/>
    <x v="0"/>
    <m/>
    <x v="0"/>
    <x v="0"/>
    <s v="Phyin Nyar Ag Myay"/>
    <m/>
    <m/>
    <m/>
    <m/>
    <m/>
    <m/>
    <n v="11"/>
    <m/>
    <m/>
    <m/>
    <m/>
    <m/>
    <m/>
    <m/>
    <m/>
    <m/>
    <m/>
    <m/>
    <m/>
    <m/>
    <m/>
    <n v="0"/>
    <n v="0"/>
    <n v="0"/>
    <n v="0"/>
    <n v="0"/>
    <n v="0"/>
    <n v="0"/>
    <n v="0"/>
    <n v="0"/>
    <n v="0"/>
    <n v="0"/>
    <n v="0"/>
    <n v="0"/>
    <n v="0"/>
    <n v="0"/>
    <n v="0"/>
    <s v=""/>
    <x v="1"/>
    <m/>
  </r>
  <r>
    <n v="78.2"/>
    <x v="6"/>
    <x v="278"/>
    <x v="0"/>
    <m/>
    <x v="0"/>
    <x v="0"/>
    <s v="Sit Kae Taw Min"/>
    <m/>
    <m/>
    <m/>
    <m/>
    <m/>
    <m/>
    <n v="89"/>
    <m/>
    <m/>
    <m/>
    <m/>
    <m/>
    <m/>
    <m/>
    <m/>
    <m/>
    <m/>
    <m/>
    <m/>
    <m/>
    <m/>
    <n v="0"/>
    <n v="0"/>
    <n v="0"/>
    <n v="0"/>
    <n v="0"/>
    <n v="0"/>
    <n v="0"/>
    <n v="0"/>
    <n v="0"/>
    <n v="0"/>
    <n v="0"/>
    <n v="0"/>
    <n v="0"/>
    <n v="0"/>
    <n v="0"/>
    <n v="0"/>
    <s v=""/>
    <x v="1"/>
    <m/>
  </r>
  <r>
    <n v="78.233333333333334"/>
    <x v="6"/>
    <x v="279"/>
    <x v="0"/>
    <m/>
    <x v="0"/>
    <x v="0"/>
    <s v="Ma Ni Yadanar Monastery"/>
    <m/>
    <m/>
    <m/>
    <m/>
    <m/>
    <m/>
    <n v="120"/>
    <m/>
    <m/>
    <m/>
    <m/>
    <m/>
    <m/>
    <m/>
    <m/>
    <m/>
    <m/>
    <m/>
    <m/>
    <m/>
    <m/>
    <n v="0"/>
    <n v="0"/>
    <n v="0"/>
    <n v="0"/>
    <n v="0"/>
    <n v="0"/>
    <n v="0"/>
    <n v="0"/>
    <n v="0"/>
    <n v="0"/>
    <n v="0"/>
    <n v="0"/>
    <n v="0"/>
    <n v="0"/>
    <n v="0"/>
    <n v="0"/>
    <s v="MMR012CMP072"/>
    <x v="4"/>
    <m/>
  </r>
  <r>
    <n v="78.233333333333334"/>
    <x v="6"/>
    <x v="279"/>
    <x v="0"/>
    <m/>
    <x v="0"/>
    <x v="0"/>
    <s v="MahaKuthaLa"/>
    <m/>
    <m/>
    <m/>
    <m/>
    <m/>
    <m/>
    <n v="11"/>
    <m/>
    <m/>
    <m/>
    <m/>
    <m/>
    <m/>
    <m/>
    <m/>
    <m/>
    <m/>
    <m/>
    <m/>
    <m/>
    <m/>
    <n v="0"/>
    <n v="0"/>
    <n v="0"/>
    <n v="0"/>
    <n v="0"/>
    <n v="0"/>
    <n v="0"/>
    <n v="0"/>
    <n v="0"/>
    <n v="0"/>
    <n v="0"/>
    <n v="0"/>
    <n v="0"/>
    <n v="0"/>
    <n v="0"/>
    <n v="0"/>
    <s v=""/>
    <x v="1"/>
    <m/>
  </r>
  <r>
    <n v="78.233333333333334"/>
    <x v="6"/>
    <x v="279"/>
    <x v="0"/>
    <m/>
    <x v="0"/>
    <x v="0"/>
    <s v="U Ye Kyaw Thu"/>
    <m/>
    <m/>
    <m/>
    <m/>
    <m/>
    <m/>
    <n v="200"/>
    <m/>
    <m/>
    <m/>
    <m/>
    <m/>
    <m/>
    <m/>
    <m/>
    <m/>
    <m/>
    <m/>
    <m/>
    <m/>
    <m/>
    <n v="0"/>
    <n v="0"/>
    <n v="0"/>
    <n v="0"/>
    <n v="0"/>
    <n v="0"/>
    <n v="0"/>
    <n v="0"/>
    <n v="0"/>
    <n v="0"/>
    <n v="0"/>
    <n v="0"/>
    <n v="0"/>
    <n v="0"/>
    <n v="0"/>
    <n v="0"/>
    <s v=""/>
    <x v="1"/>
    <m/>
  </r>
  <r>
    <m/>
    <x v="7"/>
    <x v="280"/>
    <x v="26"/>
    <m/>
    <x v="1"/>
    <x v="10"/>
    <m/>
    <m/>
    <m/>
    <m/>
    <m/>
    <m/>
    <m/>
    <m/>
    <m/>
    <m/>
    <m/>
    <m/>
    <m/>
    <m/>
    <m/>
    <m/>
    <m/>
    <m/>
    <m/>
    <m/>
    <m/>
    <m/>
    <m/>
    <m/>
    <m/>
    <n v="0"/>
    <m/>
    <m/>
    <m/>
    <m/>
    <m/>
    <m/>
    <m/>
    <m/>
    <n v="0"/>
    <n v="0"/>
    <n v="0"/>
    <n v="0"/>
    <m/>
    <x v="5"/>
    <m/>
  </r>
  <r>
    <s v=""/>
    <x v="8"/>
    <x v="280"/>
    <x v="26"/>
    <m/>
    <x v="1"/>
    <x v="10"/>
    <m/>
    <m/>
    <m/>
    <m/>
    <m/>
    <m/>
    <m/>
    <m/>
    <m/>
    <m/>
    <m/>
    <m/>
    <m/>
    <m/>
    <m/>
    <m/>
    <m/>
    <m/>
    <m/>
    <m/>
    <m/>
    <m/>
    <n v="0"/>
    <n v="0"/>
    <n v="0"/>
    <n v="0"/>
    <n v="0"/>
    <n v="0"/>
    <n v="0"/>
    <n v="0"/>
    <n v="0"/>
    <n v="0"/>
    <n v="0"/>
    <n v="0"/>
    <n v="0"/>
    <n v="0"/>
    <n v="0"/>
    <n v="0"/>
    <s v=""/>
    <x v="1"/>
    <m/>
  </r>
</pivotCacheRecords>
</file>

<file path=xl/pivotCache/pivotCacheRecords7.xml><?xml version="1.0" encoding="utf-8"?>
<pivotCacheRecords xmlns="http://schemas.openxmlformats.org/spreadsheetml/2006/main" xmlns:r="http://schemas.openxmlformats.org/officeDocument/2006/relationships" count="128">
  <r>
    <x v="0"/>
    <x v="0"/>
    <s v="MMR012"/>
    <s v="Sittwe"/>
    <s v="MMR012D001"/>
    <x v="0"/>
    <s v="MMR012007"/>
    <s v="Pein Hne Chaung"/>
    <s v="MMR012007049"/>
    <s v="Kyauk Pyin Seik"/>
    <n v="197537"/>
    <x v="0"/>
    <x v="0"/>
    <n v="92.985095000000001"/>
    <n v="20.108101999999999"/>
    <m/>
    <n v="1249"/>
    <n v="4726"/>
    <n v="3.7019064124783361"/>
    <s v="Accessible by All"/>
    <s v="IDP"/>
    <x v="0"/>
    <m/>
    <m/>
    <x v="0"/>
    <s v="Muslim"/>
    <x v="0"/>
    <s v="Rural"/>
    <x v="0"/>
    <x v="0"/>
    <s v="Individual Household"/>
    <s v="Household Headcount Survey"/>
    <d v="2018-09-30T00:00:00"/>
    <m/>
    <x v="0"/>
    <n v="0.61489191353082462"/>
  </r>
  <r>
    <x v="0"/>
    <x v="0"/>
    <s v="MMR012"/>
    <s v="Sittwe"/>
    <s v="MMR012D001"/>
    <x v="1"/>
    <s v="MMR012001"/>
    <s v="San Pya Ward"/>
    <s v="MMR012002701"/>
    <s v="Ah Nauk San Pya Ward"/>
    <s v="MMR012001701522"/>
    <x v="1"/>
    <x v="1"/>
    <n v="92.875814000000005"/>
    <n v="20.128488999999998"/>
    <m/>
    <n v="396"/>
    <n v="2267"/>
    <n v="5.1612090680100753"/>
    <s v="Accessible by All"/>
    <s v="IDP"/>
    <x v="0"/>
    <m/>
    <m/>
    <x v="0"/>
    <s v="Muslim"/>
    <x v="0"/>
    <s v="Rural"/>
    <x v="0"/>
    <x v="0"/>
    <s v="Individual Household"/>
    <s v="Household Headcount Survey"/>
    <d v="2018-09-30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13"/>
    <n v="4757"/>
    <n v="4.8655967903711135"/>
    <s v="Accessible by All"/>
    <s v="IDP"/>
    <x v="0"/>
    <m/>
    <m/>
    <x v="0"/>
    <s v="Muslim"/>
    <x v="0"/>
    <s v="Rural"/>
    <x v="0"/>
    <x v="2"/>
    <s v="Individual Household"/>
    <s v="Household Headcount Survey"/>
    <d v="2018-10-31T00:00:00"/>
    <m/>
    <x v="2"/>
    <n v="1"/>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34"/>
    <n v="6611"/>
    <n v="5.3330763299922896"/>
    <s v="Accessible by All"/>
    <s v="IDP"/>
    <x v="0"/>
    <m/>
    <m/>
    <x v="0"/>
    <s v="Muslim"/>
    <x v="0"/>
    <s v="Rural"/>
    <x v="0"/>
    <x v="2"/>
    <s v="Individual Household"/>
    <s v="Household Headcount Survey"/>
    <d v="2018-09-30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9-30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400"/>
    <n v="2306"/>
    <n v="5.4411027568922306"/>
    <s v="Accessible by All"/>
    <s v="IDP"/>
    <x v="0"/>
    <m/>
    <m/>
    <x v="0"/>
    <s v="Muslim"/>
    <x v="0"/>
    <s v="Rural"/>
    <x v="0"/>
    <x v="0"/>
    <s v="Individual Household"/>
    <s v="Household Headcount Survey"/>
    <d v="2018-09-30T00:00:00"/>
    <m/>
    <x v="0"/>
    <n v="0"/>
  </r>
  <r>
    <x v="0"/>
    <x v="0"/>
    <s v="MMR012"/>
    <s v="Sittwe"/>
    <s v="MMR012D001"/>
    <x v="1"/>
    <s v="MMR012001"/>
    <s v="Khaung Doke Kar"/>
    <s v="MMR012001025"/>
    <s v="Khaung Doke Kar"/>
    <n v="196191"/>
    <x v="10"/>
    <x v="9"/>
    <n v="92.823166999999998"/>
    <n v="20.181778000000001"/>
    <m/>
    <n v="399"/>
    <n v="2223"/>
    <n v="5.4411027568922306"/>
    <s v="Accessible by All"/>
    <s v="IDP"/>
    <x v="0"/>
    <m/>
    <m/>
    <x v="0"/>
    <s v="Muslim"/>
    <x v="0"/>
    <s v="Rural"/>
    <x v="0"/>
    <x v="0"/>
    <s v="Individual Household"/>
    <s v="Household Headcount Survey"/>
    <d v="2018-09-30T00:00:00"/>
    <m/>
    <x v="0"/>
    <n v="0"/>
  </r>
  <r>
    <x v="0"/>
    <x v="0"/>
    <s v="MMR012"/>
    <s v="Sittwe"/>
    <s v="MMR012D001"/>
    <x v="0"/>
    <s v="MMR012007"/>
    <s v="Pein Hne Chaung"/>
    <s v="MMR012007049"/>
    <s v="Kyein Ni Pyin"/>
    <s v="197533"/>
    <x v="11"/>
    <x v="10"/>
    <n v="93.010368999999997"/>
    <n v="20.090183"/>
    <m/>
    <n v="1343"/>
    <n v="5945"/>
    <n v="4.8249227600411899"/>
    <s v="Accessible by All"/>
    <s v="IDP"/>
    <x v="0"/>
    <m/>
    <m/>
    <x v="0"/>
    <s v="Muslim"/>
    <x v="0"/>
    <s v="Rural"/>
    <x v="0"/>
    <x v="2"/>
    <m/>
    <s v="Household Headcount Survey"/>
    <d v="2018-09-30T00:00:00"/>
    <m/>
    <x v="2"/>
    <n v="0.99478778853313476"/>
  </r>
  <r>
    <x v="0"/>
    <x v="0"/>
    <s v="MMR012"/>
    <s v="Sittwe"/>
    <s v="MMR012D001"/>
    <x v="1"/>
    <s v="MMR012001"/>
    <s v="Bu May"/>
    <s v="MMR012001027"/>
    <s v="Bu May"/>
    <n v="196200"/>
    <x v="12"/>
    <x v="11"/>
    <n v="92.831000000000003"/>
    <n v="20.185917"/>
    <m/>
    <n v="622"/>
    <n v="3370"/>
    <n v="5.3717948717948714"/>
    <s v="Accessible by All"/>
    <s v="IDP"/>
    <x v="0"/>
    <m/>
    <m/>
    <x v="0"/>
    <s v="Muslim"/>
    <x v="0"/>
    <s v="Rural"/>
    <x v="0"/>
    <x v="4"/>
    <s v="Individual Household"/>
    <s v="Household Headcount Survey"/>
    <d v="2018-10-31T00:00:00"/>
    <m/>
    <x v="4"/>
    <n v="1"/>
  </r>
  <r>
    <x v="0"/>
    <x v="0"/>
    <s v="MMR012"/>
    <s v="Sittwe"/>
    <s v="MMR012D001"/>
    <x v="0"/>
    <s v="MMR012007"/>
    <s v="Pon Nar Gyi"/>
    <s v="MMR012007012"/>
    <s v="Cha Eik"/>
    <s v="197414"/>
    <x v="13"/>
    <x v="12"/>
    <n v="93.154551999999995"/>
    <n v="20.073437999999999"/>
    <m/>
    <n v="905"/>
    <n v="4118"/>
    <n v="4.7418321588725201"/>
    <s v="Accessible by All"/>
    <s v="IDP"/>
    <x v="0"/>
    <m/>
    <m/>
    <x v="0"/>
    <s v="Muslim"/>
    <x v="0"/>
    <s v="Rural"/>
    <x v="0"/>
    <x v="0"/>
    <m/>
    <s v="Household Headcount Survey"/>
    <d v="2018-09-30T00:00:00"/>
    <m/>
    <x v="0"/>
    <n v="1"/>
  </r>
  <r>
    <x v="0"/>
    <x v="0"/>
    <s v="MMR012"/>
    <s v="Sittwe"/>
    <s v="MMR012D001"/>
    <x v="1"/>
    <s v="MMR012001"/>
    <s v="Say Tha Mar"/>
    <s v="MMR012001010"/>
    <s v="Ohn Taw Shey"/>
    <n v="196158"/>
    <x v="14"/>
    <x v="13"/>
    <n v="92.774193999999994"/>
    <n v="20.206778"/>
    <m/>
    <n v="734"/>
    <n v="4007"/>
    <n v="5.221879815100154"/>
    <s v="Accessible by All"/>
    <s v="IDP"/>
    <x v="0"/>
    <m/>
    <m/>
    <x v="0"/>
    <s v="Muslim"/>
    <x v="0"/>
    <s v="Rural"/>
    <x v="0"/>
    <x v="2"/>
    <s v="Individual Household"/>
    <s v="Household Headcount Survey"/>
    <d v="2018-09-30T00:00:00"/>
    <m/>
    <x v="2"/>
    <n v="0.87193460490463215"/>
  </r>
  <r>
    <x v="0"/>
    <x v="0"/>
    <s v="MMR012"/>
    <s v="Sittwe"/>
    <s v="MMR012D001"/>
    <x v="1"/>
    <s v="MMR012001"/>
    <s v="Khaung Doke Kar"/>
    <s v="MMR012001025"/>
    <s v="Baw Du Hpa"/>
    <n v="196192"/>
    <x v="15"/>
    <x v="14"/>
    <n v="92.798880999999994"/>
    <n v="20.18994"/>
    <m/>
    <n v="2668"/>
    <n v="13794"/>
    <n v="5.1939901103081016"/>
    <s v="Accessible by All"/>
    <s v="IDP"/>
    <x v="0"/>
    <m/>
    <m/>
    <x v="0"/>
    <s v="Muslim"/>
    <x v="0"/>
    <s v="Rural"/>
    <x v="0"/>
    <x v="2"/>
    <s v="Individual Household"/>
    <s v="Household Headcount Survey"/>
    <d v="2018-09-30T00:00:00"/>
    <m/>
    <x v="2"/>
    <n v="1"/>
  </r>
  <r>
    <x v="0"/>
    <x v="0"/>
    <s v="MMR012"/>
    <s v="Kyaukpyu"/>
    <s v="MMR012D003"/>
    <x v="4"/>
    <s v="MMR012011"/>
    <s v="Gone Chein"/>
    <s v="MMR012011006"/>
    <s v="Say Poke Kay"/>
    <n v="198486"/>
    <x v="16"/>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7"/>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8"/>
    <x v="17"/>
    <n v="92.802295999999998"/>
    <n v="20.185092000000001"/>
    <m/>
    <n v="2259"/>
    <n v="11322"/>
    <n v="5.2180115916183683"/>
    <s v="Accessible by All"/>
    <s v="IDP"/>
    <x v="0"/>
    <m/>
    <m/>
    <x v="0"/>
    <s v="Muslim"/>
    <x v="0"/>
    <s v="Rural"/>
    <x v="0"/>
    <x v="0"/>
    <s v="Individual Household"/>
    <s v="Household Headcount Survey"/>
    <d v="2018-09-30T00:00:00"/>
    <m/>
    <x v="0"/>
    <n v="1"/>
  </r>
  <r>
    <x v="0"/>
    <x v="0"/>
    <s v="MMR012"/>
    <s v="Sittwe"/>
    <s v="MMR012D001"/>
    <x v="1"/>
    <s v="MMR012001"/>
    <s v="Say Tha Mar"/>
    <s v="MMR012001010"/>
    <s v="Say Tha Mar Gyi"/>
    <n v="196154"/>
    <x v="19"/>
    <x v="18"/>
    <n v="92.792479999999998"/>
    <n v="20.202525000000001"/>
    <m/>
    <n v="2703"/>
    <n v="13711"/>
    <n v="4.9991789819376029"/>
    <s v="Accessible by All"/>
    <s v="IDP"/>
    <x v="0"/>
    <m/>
    <m/>
    <x v="0"/>
    <s v="Muslim"/>
    <x v="0"/>
    <s v="Rural"/>
    <x v="0"/>
    <x v="2"/>
    <s v="Individual Household"/>
    <s v="Household Headcount Survey"/>
    <d v="2018-10-31T00:00:00"/>
    <m/>
    <x v="2"/>
    <n v="0.99149093599704041"/>
  </r>
  <r>
    <x v="0"/>
    <x v="0"/>
    <s v="MMR012"/>
    <s v="Sittwe"/>
    <s v="MMR012D001"/>
    <x v="0"/>
    <s v="MMR012007"/>
    <s v="Sin Tet Maw"/>
    <s v="MMR012007051"/>
    <s v="Sin Tet Maw (Ku Lar)"/>
    <n v="197548"/>
    <x v="20"/>
    <x v="19"/>
    <n v="92.993758999999997"/>
    <n v="20.064226000000001"/>
    <m/>
    <n v="617"/>
    <n v="2845"/>
    <n v="3.7519500780031203"/>
    <s v="Accessible by All"/>
    <s v="IDP"/>
    <x v="0"/>
    <m/>
    <m/>
    <x v="2"/>
    <s v="Muslim"/>
    <x v="3"/>
    <s v="Rural"/>
    <x v="0"/>
    <x v="2"/>
    <s v="Individual Household"/>
    <s v="Household Headcount Survey"/>
    <d v="2018-09-30T00:00:00"/>
    <m/>
    <x v="2"/>
    <n v="1"/>
  </r>
  <r>
    <x v="0"/>
    <x v="0"/>
    <s v="MMR012"/>
    <s v="Sittwe"/>
    <s v="MMR012D001"/>
    <x v="5"/>
    <s v="MMR012006"/>
    <s v="Ah Ngu"/>
    <s v="MMR012006001"/>
    <s v="Pyin Taw Che"/>
    <n v="217973"/>
    <x v="21"/>
    <x v="20"/>
    <n v="93.370037999999994"/>
    <n v="20.037655000000001"/>
    <m/>
    <n v="655"/>
    <n v="2690"/>
    <n v="4.043413173652695"/>
    <s v="Accessible by All"/>
    <s v="IDP"/>
    <x v="0"/>
    <m/>
    <m/>
    <x v="0"/>
    <s v="Muslim"/>
    <x v="0"/>
    <s v="Urban"/>
    <x v="1"/>
    <x v="5"/>
    <s v="Individual Household"/>
    <s v="Household Headcount Survey"/>
    <d v="2018-09-30T00:00:00"/>
    <m/>
    <x v="5"/>
    <n v="1"/>
  </r>
  <r>
    <x v="0"/>
    <x v="0"/>
    <s v="MMR012"/>
    <s v="Sittwe"/>
    <s v="MMR012D001"/>
    <x v="1"/>
    <s v="MMR012001"/>
    <s v="Bu May"/>
    <s v="MMR012001027"/>
    <s v="Thea Chaung Ku Lar"/>
    <n v="196211"/>
    <x v="22"/>
    <x v="21"/>
    <n v="92.839416999999997"/>
    <n v="20.1585"/>
    <m/>
    <n v="2272"/>
    <n v="13072"/>
    <n v="5.4372960372960373"/>
    <s v="Accessible by All"/>
    <s v="IDP"/>
    <x v="2"/>
    <m/>
    <m/>
    <x v="0"/>
    <s v="Muslim"/>
    <x v="0"/>
    <s v="Rural"/>
    <x v="0"/>
    <x v="0"/>
    <s v="Individual Household"/>
    <s v="Household Headcount Survey"/>
    <d v="2018-09-30T00:00:00"/>
    <m/>
    <x v="0"/>
    <n v="1"/>
  </r>
  <r>
    <x v="0"/>
    <x v="0"/>
    <s v="MMR012"/>
    <s v="Sittwe"/>
    <s v="MMR012D001"/>
    <x v="1"/>
    <s v="MMR012001"/>
    <s v="Bu May"/>
    <s v="MMR012001027"/>
    <s v="Kha War De Ywar Haung"/>
    <n v="196186"/>
    <x v="23"/>
    <x v="22"/>
    <n v="92.831879000000001"/>
    <n v="20.179939999999998"/>
    <m/>
    <n v="981"/>
    <n v="5926"/>
    <n v="5.7479674796747968"/>
    <s v="Accessible by All"/>
    <s v="IDP"/>
    <x v="0"/>
    <m/>
    <m/>
    <x v="0"/>
    <s v="Muslim"/>
    <x v="0"/>
    <s v="Rural"/>
    <x v="0"/>
    <x v="4"/>
    <s v="Individual Household"/>
    <s v="Household Headcount Survey"/>
    <d v="2018-10-31T00:00:00"/>
    <m/>
    <x v="4"/>
    <n v="1"/>
  </r>
  <r>
    <x v="0"/>
    <x v="0"/>
    <s v="MMR012"/>
    <s v="Sittwe"/>
    <s v="MMR012D001"/>
    <x v="1"/>
    <s v="MMR012001"/>
    <s v="Bu May"/>
    <s v="MMR012001027"/>
    <s v="Kha War De Ywar Haung"/>
    <n v="196186"/>
    <x v="24"/>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5"/>
    <x v="12"/>
    <n v="93.154551999999995"/>
    <n v="20.073437999999999"/>
    <m/>
    <n v="1010"/>
    <n v="4665"/>
    <n v="4.7418321588725201"/>
    <s v="Accessible by All"/>
    <s v="IDP"/>
    <x v="3"/>
    <m/>
    <m/>
    <x v="0"/>
    <s v="Muslim"/>
    <x v="0"/>
    <s v="Rural"/>
    <x v="0"/>
    <x v="0"/>
    <s v="Individual Household"/>
    <s v="Household Headcount Survey"/>
    <d v="2018-09-30T00:00:00"/>
    <m/>
    <x v="0"/>
    <n v="1"/>
  </r>
  <r>
    <x v="2"/>
    <x v="0"/>
    <s v="MMR012"/>
    <s v="Kyaukpyu"/>
    <s v="MMR012D003"/>
    <x v="4"/>
    <s v="MMR012011"/>
    <s v="Taung Yin"/>
    <s v="MMR012011002"/>
    <s v="Ka Nyin Taw"/>
    <n v="198469"/>
    <x v="26"/>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7"/>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8"/>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9"/>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30"/>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1"/>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2"/>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3"/>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4"/>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5"/>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6"/>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7"/>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8"/>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9"/>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40"/>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1"/>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2"/>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3"/>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4"/>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5"/>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6"/>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7"/>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8"/>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9"/>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50"/>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1"/>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2"/>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3"/>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4"/>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5"/>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6"/>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7"/>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8"/>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9"/>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60"/>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1"/>
    <x v="59"/>
    <s v="NA"/>
    <s v="NA"/>
    <m/>
    <m/>
    <m/>
    <n v="0"/>
    <s v="Accessible by All"/>
    <s v="IDP"/>
    <x v="0"/>
    <m/>
    <m/>
    <x v="0"/>
    <m/>
    <x v="5"/>
    <m/>
    <x v="2"/>
    <x v="6"/>
    <s v="Camp/Community Leader"/>
    <s v="Estimate"/>
    <d v="2013-09-03T00:00:00"/>
    <m/>
    <x v="6"/>
    <n v="0"/>
  </r>
  <r>
    <x v="1"/>
    <x v="0"/>
    <s v="MMR012"/>
    <s v="Maungdaw"/>
    <s v="MMR012D002"/>
    <x v="7"/>
    <s v="MMR012009"/>
    <s v="NA"/>
    <s v="NA"/>
    <s v="NA"/>
    <s v="NA"/>
    <x v="62"/>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3"/>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4"/>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5"/>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6"/>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7"/>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8"/>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9"/>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70"/>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1"/>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2"/>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3"/>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4"/>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5"/>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6"/>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7"/>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8"/>
    <x v="76"/>
    <n v="92.896006"/>
    <n v="20.154330999999999"/>
    <m/>
    <m/>
    <m/>
    <n v="0"/>
    <s v="Accessible by All"/>
    <s v="IDP"/>
    <x v="5"/>
    <m/>
    <m/>
    <x v="0"/>
    <m/>
    <x v="5"/>
    <m/>
    <x v="2"/>
    <x v="6"/>
    <s v="Camp/Community Leader"/>
    <s v="Estimate"/>
    <d v="2013-09-03T00:00:00"/>
    <m/>
    <x v="6"/>
    <n v="0"/>
  </r>
  <r>
    <x v="1"/>
    <x v="0"/>
    <s v="MMR012"/>
    <s v="Sittwe"/>
    <s v="MMR012D001"/>
    <x v="1"/>
    <s v="MMR012001"/>
    <m/>
    <m/>
    <m/>
    <m/>
    <x v="79"/>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80"/>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1"/>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2"/>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3"/>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4"/>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5"/>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6"/>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7"/>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8"/>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9"/>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90"/>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1"/>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2"/>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3"/>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4"/>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7"/>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5"/>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6"/>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7"/>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8"/>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9"/>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100"/>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1"/>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2"/>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3"/>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4"/>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5"/>
    <x v="104"/>
    <n v="92.839166000000006"/>
    <n v="20.157311"/>
    <m/>
    <m/>
    <m/>
    <m/>
    <s v="Accessible by All"/>
    <s v="IDP"/>
    <x v="1"/>
    <m/>
    <m/>
    <x v="0"/>
    <m/>
    <x v="1"/>
    <m/>
    <x v="2"/>
    <x v="3"/>
    <m/>
    <m/>
    <d v="2015-10-01T00:00:00"/>
    <s v="LWF reported Thea Chaung Camp and Thea Chaung host families as a combine one (Thea Chaung)"/>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1"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11"/>
    <field x="12"/>
    <field x="0"/>
  </rowFields>
  <rowItems count="108">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39"/>
      <x v="1"/>
    </i>
    <i>
      <x v="36"/>
      <x v="29"/>
      <x v="2"/>
    </i>
    <i>
      <x v="37"/>
      <x v="76"/>
      <x/>
    </i>
    <i>
      <x v="38"/>
      <x v="74"/>
      <x/>
    </i>
    <i>
      <x v="39"/>
      <x v="32"/>
      <x v="1"/>
    </i>
    <i>
      <x v="40"/>
      <x v="17"/>
      <x v="1"/>
    </i>
    <i>
      <x v="41"/>
      <x v="79"/>
      <x/>
    </i>
    <i>
      <x v="42"/>
      <x v="58"/>
      <x/>
    </i>
    <i>
      <x v="43"/>
      <x v="19"/>
      <x v="3"/>
    </i>
    <i>
      <x v="44"/>
      <x v="50"/>
      <x/>
    </i>
    <i>
      <x v="45"/>
      <x v="68"/>
      <x/>
    </i>
    <i>
      <x v="46"/>
      <x v="83"/>
      <x v="1"/>
    </i>
    <i>
      <x v="47"/>
      <x v="72"/>
      <x/>
    </i>
    <i>
      <x v="48"/>
      <x v="51"/>
      <x/>
    </i>
    <i r="1">
      <x v="84"/>
      <x v="2"/>
    </i>
    <i>
      <x v="49"/>
      <x v="10"/>
      <x/>
    </i>
    <i>
      <x v="50"/>
      <x v="59"/>
      <x/>
    </i>
    <i>
      <x v="51"/>
      <x v="3"/>
      <x/>
    </i>
    <i>
      <x v="52"/>
      <x v="16"/>
      <x v="1"/>
    </i>
    <i>
      <x v="53"/>
      <x v="16"/>
      <x v="1"/>
    </i>
    <i>
      <x v="54"/>
      <x v="22"/>
      <x v="1"/>
    </i>
    <i>
      <x v="55"/>
      <x v="30"/>
      <x v="3"/>
    </i>
    <i>
      <x v="56"/>
      <x v="78"/>
      <x v="3"/>
    </i>
    <i>
      <x v="57"/>
      <x v="87"/>
      <x v="1"/>
    </i>
    <i>
      <x v="58"/>
      <x v="102"/>
      <x v="1"/>
    </i>
    <i>
      <x v="59"/>
      <x v="103"/>
      <x v="1"/>
    </i>
    <i>
      <x v="60"/>
      <x v="40"/>
      <x/>
    </i>
    <i>
      <x v="61"/>
      <x v="81"/>
      <x/>
    </i>
    <i>
      <x v="62"/>
      <x v="88"/>
      <x/>
    </i>
    <i>
      <x v="63"/>
      <x v="89"/>
      <x/>
    </i>
    <i>
      <x v="64"/>
      <x v="47"/>
      <x/>
    </i>
    <i>
      <x v="65"/>
      <x v="8"/>
      <x v="3"/>
    </i>
    <i>
      <x v="66"/>
      <x/>
      <x v="3"/>
    </i>
    <i>
      <x v="67"/>
      <x v="41"/>
      <x/>
    </i>
    <i>
      <x v="68"/>
      <x v="60"/>
      <x/>
    </i>
    <i>
      <x v="69"/>
      <x v="35"/>
      <x/>
    </i>
    <i>
      <x v="70"/>
      <x v="34"/>
      <x/>
    </i>
    <i>
      <x v="71"/>
      <x v="11"/>
      <x v="2"/>
    </i>
    <i>
      <x v="72"/>
      <x v="7"/>
      <x v="3"/>
    </i>
    <i>
      <x v="73"/>
      <x v="2"/>
      <x v="3"/>
    </i>
    <i>
      <x v="74"/>
      <x v="94"/>
      <x/>
    </i>
    <i>
      <x v="75"/>
      <x v="98"/>
      <x v="2"/>
    </i>
    <i>
      <x v="76"/>
      <x v="99"/>
      <x v="2"/>
    </i>
    <i>
      <x v="77"/>
      <x v="42"/>
      <x v="1"/>
    </i>
    <i>
      <x v="78"/>
      <x v="93"/>
      <x v="3"/>
    </i>
    <i>
      <x v="79"/>
      <x v="53"/>
      <x v="2"/>
    </i>
    <i>
      <x v="80"/>
      <x v="28"/>
      <x v="3"/>
    </i>
    <i>
      <x v="81"/>
      <x v="61"/>
      <x/>
    </i>
    <i>
      <x v="82"/>
      <x v="64"/>
      <x/>
    </i>
    <i>
      <x v="83"/>
      <x v="18"/>
      <x v="1"/>
    </i>
    <i>
      <x v="84"/>
      <x v="85"/>
      <x/>
    </i>
    <i>
      <x v="85"/>
      <x v="62"/>
      <x/>
    </i>
    <i>
      <x v="86"/>
      <x v="20"/>
      <x v="3"/>
    </i>
    <i>
      <x v="87"/>
      <x v="13"/>
      <x v="1"/>
    </i>
    <i>
      <x v="88"/>
      <x v="1"/>
      <x v="3"/>
    </i>
    <i>
      <x v="89"/>
      <x v="73"/>
      <x/>
    </i>
    <i>
      <x v="90"/>
      <x v="4"/>
      <x v="3"/>
    </i>
    <i>
      <x v="91"/>
      <x v="43"/>
      <x v="1"/>
    </i>
    <i>
      <x v="92"/>
      <x v="90"/>
      <x/>
    </i>
    <i>
      <x v="93"/>
      <x v="44"/>
      <x/>
    </i>
    <i>
      <x v="94"/>
      <x v="66"/>
      <x/>
    </i>
    <i>
      <x v="95"/>
      <x v="6"/>
      <x/>
    </i>
    <i>
      <x v="96"/>
      <x v="63"/>
      <x/>
    </i>
    <i>
      <x v="97"/>
      <x v="45"/>
      <x v="1"/>
    </i>
    <i>
      <x v="98"/>
      <x v="82"/>
      <x v="1"/>
    </i>
    <i>
      <x v="99"/>
      <x v="104"/>
      <x v="2"/>
    </i>
    <i>
      <x v="100"/>
      <x v="71"/>
      <x/>
    </i>
    <i>
      <x v="101"/>
      <x v="70"/>
      <x/>
    </i>
    <i>
      <x v="102"/>
      <x v="9"/>
      <x v="3"/>
    </i>
    <i>
      <x v="103"/>
      <x v="27"/>
      <x v="3"/>
    </i>
    <i>
      <x v="104"/>
      <x v="96"/>
      <x/>
    </i>
    <i>
      <x v="105"/>
      <x v="97"/>
      <x/>
    </i>
    <i>
      <x v="106"/>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7">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 h="1" x="65"/>
        <item h="1" x="66"/>
      </items>
    </pivotField>
  </pivotFields>
  <rowFields count="2">
    <field x="5"/>
    <field x="11"/>
  </rowFields>
  <rowItems count="9">
    <i>
      <x/>
      <x v="49"/>
    </i>
    <i t="default">
      <x/>
    </i>
    <i>
      <x v="6"/>
      <x v="12"/>
    </i>
    <i r="1">
      <x v="93"/>
    </i>
    <i r="1">
      <x v="22"/>
    </i>
    <i t="default">
      <x v="6"/>
    </i>
    <i>
      <x v="8"/>
      <x v="36"/>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94">
      <pivotArea field="0" type="button" dataOnly="0" labelOnly="1" outline="0" axis="axisPage" fieldPosition="0"/>
    </format>
    <format dxfId="993">
      <pivotArea dataOnly="0" labelOnly="1" outline="0" fieldPosition="0">
        <references count="1">
          <reference field="0" count="0"/>
        </references>
      </pivotArea>
    </format>
    <format dxfId="992">
      <pivotArea field="36" type="button" dataOnly="0" labelOnly="1" outline="0" axis="axisPage" fieldPosition="1"/>
    </format>
    <format dxfId="991">
      <pivotArea dataOnly="0" labelOnly="1" outline="0" fieldPosition="0">
        <references count="1">
          <reference field="36" count="0"/>
        </references>
      </pivotArea>
    </format>
    <format dxfId="990">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8"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22">
    <i>
      <x v="3"/>
    </i>
    <i r="1">
      <x v="3"/>
    </i>
    <i r="1">
      <x v="37"/>
    </i>
    <i r="1">
      <x v="78"/>
    </i>
    <i r="1">
      <x v="104"/>
    </i>
    <i>
      <x v="6"/>
    </i>
    <i r="1">
      <x v="9"/>
    </i>
    <i r="1">
      <x v="13"/>
    </i>
    <i r="1">
      <x v="14"/>
    </i>
    <i r="1">
      <x v="21"/>
    </i>
    <i r="1">
      <x v="43"/>
    </i>
    <i r="1">
      <x v="52"/>
    </i>
    <i r="1">
      <x v="53"/>
    </i>
    <i r="1">
      <x v="54"/>
    </i>
    <i r="1">
      <x v="72"/>
    </i>
    <i r="1">
      <x v="86"/>
    </i>
    <i r="1">
      <x v="92"/>
    </i>
    <i r="1">
      <x v="105"/>
    </i>
    <i r="1">
      <x v="106"/>
    </i>
    <i>
      <x v="7"/>
    </i>
    <i r="1">
      <x v="82"/>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99">
      <pivotArea type="all" dataOnly="0" outline="0" fieldPosition="0"/>
    </format>
    <format dxfId="998">
      <pivotArea field="0" type="button" dataOnly="0" labelOnly="1" outline="0" axis="axisPage" fieldPosition="0"/>
    </format>
    <format dxfId="997">
      <pivotArea dataOnly="0" labelOnly="1" outline="0" fieldPosition="0">
        <references count="1">
          <reference field="0" count="0"/>
        </references>
      </pivotArea>
    </format>
    <format dxfId="996">
      <pivotArea field="21" type="button" dataOnly="0" labelOnly="1" outline="0" axis="axisPage" fieldPosition="1"/>
    </format>
    <format dxfId="995">
      <pivotArea dataOnly="0" labelOnly="1" outline="0" fieldPosition="0">
        <references count="1">
          <reference field="21" count="0"/>
        </references>
      </pivotArea>
    </format>
  </formats>
  <chartFormats count="37">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8"/>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7"/>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4"/>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0"/>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3"/>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2"/>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6"/>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8"/>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004">
      <pivotArea field="0" type="button" dataOnly="0" labelOnly="1" outline="0" axis="axisPage" fieldPosition="0"/>
    </format>
    <format dxfId="1003">
      <pivotArea dataOnly="0" labelOnly="1" outline="0" fieldPosition="0">
        <references count="1">
          <reference field="0" count="0"/>
        </references>
      </pivotArea>
    </format>
    <format dxfId="1002">
      <pivotArea type="all" dataOnly="0" outline="0" fieldPosition="0"/>
    </format>
    <format dxfId="1001">
      <pivotArea field="0" type="button" dataOnly="0" labelOnly="1" outline="0" axis="axisPage" fieldPosition="0"/>
    </format>
    <format dxfId="1000">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8">
        <item x="6"/>
        <item x="11"/>
        <item x="12"/>
        <item x="13"/>
        <item x="14"/>
        <item x="18"/>
        <item x="3"/>
        <item m="1" x="26"/>
        <item x="7"/>
        <item x="10"/>
        <item m="1" x="21"/>
        <item m="1" x="24"/>
        <item x="17"/>
        <item x="0"/>
        <item m="1" x="23"/>
        <item m="1" x="22"/>
        <item x="16"/>
        <item m="1" x="25"/>
        <item m="1" x="20"/>
        <item m="1" x="19"/>
        <item x="15"/>
        <item x="1"/>
        <item x="2"/>
        <item x="9"/>
        <item x="8"/>
        <item x="4"/>
        <item x="5"/>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12">
      <pivotArea outline="0" collapsedLevelsAreSubtotals="1" fieldPosition="0"/>
    </format>
    <format dxfId="911">
      <pivotArea dataOnly="0" labelOnly="1" fieldPosition="0">
        <references count="1">
          <reference field="4" count="1" defaultSubtotal="1">
            <x v="0"/>
          </reference>
        </references>
      </pivotArea>
    </format>
    <format dxfId="910">
      <pivotArea dataOnly="0" labelOnly="1" fieldPosition="0">
        <references count="1">
          <reference field="4" count="1" defaultSubtotal="1">
            <x v="16"/>
          </reference>
        </references>
      </pivotArea>
    </format>
    <format dxfId="909">
      <pivotArea dataOnly="0" labelOnly="1" fieldPosition="0">
        <references count="1">
          <reference field="4" count="1" defaultSubtotal="1">
            <x v="4"/>
          </reference>
        </references>
      </pivotArea>
    </format>
    <format dxfId="908">
      <pivotArea dataOnly="0" labelOnly="1" fieldPosition="0">
        <references count="1">
          <reference field="4" count="1" defaultSubtotal="1">
            <x v="1"/>
          </reference>
        </references>
      </pivotArea>
    </format>
    <format dxfId="907">
      <pivotArea dataOnly="0" labelOnly="1" fieldPosition="0">
        <references count="1">
          <reference field="4" count="1" defaultSubtotal="1">
            <x v="5"/>
          </reference>
        </references>
      </pivotArea>
    </format>
    <format dxfId="906">
      <pivotArea dataOnly="0" labelOnly="1" grandCol="1" outline="0" fieldPosition="0"/>
    </format>
    <format dxfId="905">
      <pivotArea dataOnly="0" labelOnly="1" fieldPosition="0">
        <references count="2">
          <reference field="4" count="1" selected="0">
            <x v="0"/>
          </reference>
          <reference field="5" count="0"/>
        </references>
      </pivotArea>
    </format>
    <format dxfId="904">
      <pivotArea dataOnly="0" labelOnly="1" fieldPosition="0">
        <references count="2">
          <reference field="4" count="1" selected="0">
            <x v="16"/>
          </reference>
          <reference field="5" count="0"/>
        </references>
      </pivotArea>
    </format>
    <format dxfId="903">
      <pivotArea dataOnly="0" labelOnly="1" fieldPosition="0">
        <references count="2">
          <reference field="4" count="1" selected="0">
            <x v="4"/>
          </reference>
          <reference field="5" count="0"/>
        </references>
      </pivotArea>
    </format>
    <format dxfId="902">
      <pivotArea dataOnly="0" labelOnly="1" fieldPosition="0">
        <references count="2">
          <reference field="4" count="1" selected="0">
            <x v="1"/>
          </reference>
          <reference field="5" count="0"/>
        </references>
      </pivotArea>
    </format>
    <format dxfId="901">
      <pivotArea dataOnly="0" labelOnly="1" fieldPosition="0">
        <references count="2">
          <reference field="4" count="1" selected="0">
            <x v="5"/>
          </reference>
          <reference field="5" count="0"/>
        </references>
      </pivotArea>
    </format>
    <format dxfId="900">
      <pivotArea field="1" type="button" dataOnly="0" labelOnly="1" outline="0" axis="axisPage" fieldPosition="0"/>
    </format>
    <format dxfId="899">
      <pivotArea dataOnly="0" labelOnly="1" outline="0" fieldPosition="0">
        <references count="1">
          <reference field="1" count="0"/>
        </references>
      </pivotArea>
    </format>
    <format dxfId="898">
      <pivotArea field="2" type="button" dataOnly="0" labelOnly="1" outline="0" axis="axisPage" fieldPosition="1"/>
    </format>
    <format dxfId="897">
      <pivotArea dataOnly="0" labelOnly="1" outline="0" fieldPosition="0">
        <references count="1">
          <reference field="2" count="0"/>
        </references>
      </pivotArea>
    </format>
    <format dxfId="896">
      <pivotArea type="origin" dataOnly="0" labelOnly="1" outline="0" fieldPosition="0"/>
    </format>
    <format dxfId="895">
      <pivotArea field="4" type="button" dataOnly="0" labelOnly="1" outline="0" axis="axisRow" fieldPosition="0"/>
    </format>
    <format dxfId="894">
      <pivotArea field="5" type="button" dataOnly="0" labelOnly="1" outline="0" axis="axisCol" fieldPosition="0"/>
    </format>
    <format dxfId="893">
      <pivotArea dataOnly="0" labelOnly="1" fieldPosition="0">
        <references count="1">
          <reference field="5" count="1">
            <x v="0"/>
          </reference>
        </references>
      </pivotArea>
    </format>
    <format dxfId="892">
      <pivotArea type="topRight" dataOnly="0" labelOnly="1" outline="0" offset="A1" fieldPosition="0"/>
    </format>
    <format dxfId="891">
      <pivotArea dataOnly="0" labelOnly="1" fieldPosition="0">
        <references count="1">
          <reference field="5" count="1">
            <x v="1"/>
          </reference>
        </references>
      </pivotArea>
    </format>
    <format dxfId="890">
      <pivotArea type="topRight" dataOnly="0" labelOnly="1" outline="0" offset="B1" fieldPosition="0"/>
    </format>
    <format dxfId="889">
      <pivotArea dataOnly="0" labelOnly="1" grandCol="1" outline="0" fieldPosition="0"/>
    </format>
    <format dxfId="888">
      <pivotArea collapsedLevelsAreSubtotals="1" fieldPosition="0">
        <references count="1">
          <reference field="4" count="0"/>
        </references>
      </pivotArea>
    </format>
    <format dxfId="887">
      <pivotArea dataOnly="0" labelOnly="1" fieldPosition="0">
        <references count="1">
          <reference field="4" count="0"/>
        </references>
      </pivotArea>
    </format>
    <format dxfId="886">
      <pivotArea grandRow="1" outline="0" collapsedLevelsAreSubtotals="1" fieldPosition="0"/>
    </format>
    <format dxfId="885">
      <pivotArea dataOnly="0" labelOnly="1" grandRow="1" outline="0" fieldPosition="0"/>
    </format>
    <format dxfId="884">
      <pivotArea field="1" type="button" dataOnly="0" labelOnly="1" outline="0" axis="axisPage" fieldPosition="0"/>
    </format>
    <format dxfId="883">
      <pivotArea dataOnly="0" labelOnly="1" outline="0" fieldPosition="0">
        <references count="1">
          <reference field="1" count="0"/>
        </references>
      </pivotArea>
    </format>
    <format dxfId="882">
      <pivotArea dataOnly="0" labelOnly="1" fieldPosition="0">
        <references count="1">
          <reference field="5" count="1">
            <x v="2"/>
          </reference>
        </references>
      </pivotArea>
    </format>
    <format dxfId="881">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8" firstHeaderRow="1" firstDataRow="3" firstDataCol="1"/>
  <pivotFields count="6">
    <pivotField axis="axisRow" showAll="0">
      <items count="4">
        <item x="0"/>
        <item x="1"/>
        <item x="2"/>
        <item t="default"/>
      </items>
    </pivotField>
    <pivotField axis="axisRow" showAll="0">
      <items count="21">
        <item x="6"/>
        <item x="11"/>
        <item x="12"/>
        <item x="13"/>
        <item x="14"/>
        <item x="18"/>
        <item x="3"/>
        <item m="1" x="19"/>
        <item x="7"/>
        <item x="10"/>
        <item x="17"/>
        <item x="0"/>
        <item x="16"/>
        <item x="15"/>
        <item x="1"/>
        <item x="2"/>
        <item x="9"/>
        <item x="8"/>
        <item x="4"/>
        <item x="5"/>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3">
    <i>
      <x/>
    </i>
    <i r="1">
      <x/>
    </i>
    <i r="1">
      <x v="4"/>
    </i>
    <i r="1">
      <x v="11"/>
    </i>
    <i r="1">
      <x v="16"/>
    </i>
    <i r="1">
      <x v="17"/>
    </i>
    <i>
      <x v="1"/>
    </i>
    <i r="1">
      <x v="1"/>
    </i>
    <i r="1">
      <x v="2"/>
    </i>
    <i r="1">
      <x v="3"/>
    </i>
    <i r="1">
      <x v="5"/>
    </i>
    <i r="1">
      <x v="6"/>
    </i>
    <i r="1">
      <x v="8"/>
    </i>
    <i r="1">
      <x v="9"/>
    </i>
    <i r="1">
      <x v="10"/>
    </i>
    <i r="1">
      <x v="12"/>
    </i>
    <i r="1">
      <x v="14"/>
    </i>
    <i r="1">
      <x v="15"/>
    </i>
    <i r="1">
      <x v="18"/>
    </i>
    <i r="1">
      <x v="19"/>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67">
      <pivotArea outline="0" collapsedLevelsAreSubtotals="1" fieldPosition="0"/>
    </format>
    <format dxfId="966">
      <pivotArea dataOnly="0" labelOnly="1" fieldPosition="0">
        <references count="1">
          <reference field="3" count="1" defaultSubtotal="1">
            <x v="2"/>
          </reference>
        </references>
      </pivotArea>
    </format>
    <format dxfId="965">
      <pivotArea dataOnly="0" labelOnly="1" grandCol="1" outline="0" fieldPosition="0"/>
    </format>
    <format dxfId="964">
      <pivotArea dataOnly="0" labelOnly="1" fieldPosition="0">
        <references count="2">
          <reference field="3" count="1" selected="0">
            <x v="2"/>
          </reference>
          <reference field="4" count="0"/>
        </references>
      </pivotArea>
    </format>
    <format dxfId="963">
      <pivotArea type="origin" dataOnly="0" labelOnly="1" outline="0" offset="A1" fieldPosition="0"/>
    </format>
    <format dxfId="962">
      <pivotArea field="3" type="button" dataOnly="0" labelOnly="1" outline="0" axis="axisCol" fieldPosition="0"/>
    </format>
    <format dxfId="961">
      <pivotArea field="4" type="button" dataOnly="0" labelOnly="1" outline="0" axis="axisCol" fieldPosition="1"/>
    </format>
    <format dxfId="960">
      <pivotArea type="topRight" dataOnly="0" labelOnly="1" outline="0" fieldPosition="0"/>
    </format>
    <format dxfId="959">
      <pivotArea field="0" type="button" dataOnly="0" labelOnly="1" outline="0" axis="axisRow" fieldPosition="0"/>
    </format>
    <format dxfId="958">
      <pivotArea dataOnly="0" labelOnly="1" fieldPosition="0">
        <references count="1">
          <reference field="0" count="0"/>
        </references>
      </pivotArea>
    </format>
    <format dxfId="957">
      <pivotArea dataOnly="0" labelOnly="1" fieldPosition="0">
        <references count="2">
          <reference field="0" count="1" selected="0">
            <x v="0"/>
          </reference>
          <reference field="1" count="0"/>
        </references>
      </pivotArea>
    </format>
    <format dxfId="956">
      <pivotArea collapsedLevelsAreSubtotals="1" fieldPosition="0">
        <references count="1">
          <reference field="0" count="1">
            <x v="0"/>
          </reference>
        </references>
      </pivotArea>
    </format>
    <format dxfId="955">
      <pivotArea collapsedLevelsAreSubtotals="1" fieldPosition="0">
        <references count="2">
          <reference field="0" count="1" selected="0">
            <x v="0"/>
          </reference>
          <reference field="1" count="2">
            <x v="0"/>
            <x v="4"/>
          </reference>
        </references>
      </pivotArea>
    </format>
    <format dxfId="954">
      <pivotArea collapsedLevelsAreSubtotals="1" fieldPosition="0">
        <references count="1">
          <reference field="0" count="1">
            <x v="1"/>
          </reference>
        </references>
      </pivotArea>
    </format>
    <format dxfId="953">
      <pivotArea collapsedLevelsAreSubtotals="1" fieldPosition="0">
        <references count="2">
          <reference field="0" count="1" selected="0">
            <x v="1"/>
          </reference>
          <reference field="1" count="9">
            <x v="1"/>
            <x v="2"/>
            <x v="3"/>
            <x v="5"/>
            <x v="6"/>
            <x v="7"/>
            <x v="8"/>
            <x v="9"/>
            <x v="10"/>
          </reference>
        </references>
      </pivotArea>
    </format>
    <format dxfId="952">
      <pivotArea dataOnly="0" labelOnly="1" fieldPosition="0">
        <references count="1">
          <reference field="0" count="0"/>
        </references>
      </pivotArea>
    </format>
    <format dxfId="951">
      <pivotArea dataOnly="0" labelOnly="1" fieldPosition="0">
        <references count="2">
          <reference field="0" count="1" selected="0">
            <x v="0"/>
          </reference>
          <reference field="1" count="0"/>
        </references>
      </pivotArea>
    </format>
    <format dxfId="950">
      <pivotArea grandRow="1" outline="0" collapsedLevelsAreSubtotals="1" fieldPosition="0"/>
    </format>
    <format dxfId="949">
      <pivotArea dataOnly="0" labelOnly="1" grandRow="1" outline="0" fieldPosition="0"/>
    </format>
    <format dxfId="948">
      <pivotArea dataOnly="0" labelOnly="1" fieldPosition="0">
        <references count="1">
          <reference field="0" count="1">
            <x v="2"/>
          </reference>
        </references>
      </pivotArea>
    </format>
    <format dxfId="947">
      <pivotArea dataOnly="0" labelOnly="1" fieldPosition="0">
        <references count="2">
          <reference field="0" count="1" selected="0">
            <x v="1"/>
          </reference>
          <reference field="1" count="8">
            <x v="2"/>
            <x v="3"/>
            <x v="5"/>
            <x v="7"/>
            <x v="8"/>
            <x v="9"/>
            <x v="10"/>
            <x v="12"/>
          </reference>
        </references>
      </pivotArea>
    </format>
    <format dxfId="946">
      <pivotArea collapsedLevelsAreSubtotals="1" fieldPosition="0">
        <references count="1">
          <reference field="0" count="1">
            <x v="0"/>
          </reference>
        </references>
      </pivotArea>
    </format>
    <format dxfId="945">
      <pivotArea collapsedLevelsAreSubtotals="1" fieldPosition="0">
        <references count="2">
          <reference field="0" count="1" selected="0">
            <x v="0"/>
          </reference>
          <reference field="1" count="3">
            <x v="0"/>
            <x v="4"/>
            <x v="11"/>
          </reference>
        </references>
      </pivotArea>
    </format>
    <format dxfId="944">
      <pivotArea collapsedLevelsAreSubtotals="1" fieldPosition="0">
        <references count="1">
          <reference field="0" count="1">
            <x v="1"/>
          </reference>
        </references>
      </pivotArea>
    </format>
    <format dxfId="943">
      <pivotArea collapsedLevelsAreSubtotals="1" fieldPosition="0">
        <references count="2">
          <reference field="0" count="1" selected="0">
            <x v="1"/>
          </reference>
          <reference field="1" count="8">
            <x v="2"/>
            <x v="3"/>
            <x v="5"/>
            <x v="7"/>
            <x v="8"/>
            <x v="9"/>
            <x v="10"/>
            <x v="12"/>
          </reference>
        </references>
      </pivotArea>
    </format>
    <format dxfId="942">
      <pivotArea collapsedLevelsAreSubtotals="1" fieldPosition="0">
        <references count="2">
          <reference field="0" count="1" selected="0">
            <x v="2"/>
          </reference>
          <reference field="1" count="1">
            <x v="13"/>
          </reference>
        </references>
      </pivotArea>
    </format>
    <format dxfId="941">
      <pivotArea collapsedLevelsAreSubtotals="1" fieldPosition="0">
        <references count="2">
          <reference field="0" count="1" selected="0">
            <x v="0"/>
          </reference>
          <reference field="1" count="1">
            <x v="11"/>
          </reference>
        </references>
      </pivotArea>
    </format>
    <format dxfId="940">
      <pivotArea collapsedLevelsAreSubtotals="1" fieldPosition="0">
        <references count="2">
          <reference field="0" count="1" selected="0">
            <x v="0"/>
          </reference>
          <reference field="1" count="1">
            <x v="11"/>
          </reference>
        </references>
      </pivotArea>
    </format>
    <format dxfId="939">
      <pivotArea dataOnly="0" labelOnly="1" fieldPosition="0">
        <references count="2">
          <reference field="0" count="1" selected="0">
            <x v="2"/>
          </reference>
          <reference field="1" count="1">
            <x v="13"/>
          </reference>
        </references>
      </pivotArea>
    </format>
    <format dxfId="938">
      <pivotArea collapsedLevelsAreSubtotals="1" fieldPosition="0">
        <references count="2">
          <reference field="0" count="1" selected="0">
            <x v="1"/>
          </reference>
          <reference field="1" count="1">
            <x v="12"/>
          </reference>
        </references>
      </pivotArea>
    </format>
    <format dxfId="937">
      <pivotArea collapsedLevelsAreSubtotals="1" fieldPosition="0">
        <references count="2">
          <reference field="0" count="1" selected="0">
            <x v="2"/>
          </reference>
          <reference field="1" count="1">
            <x v="13"/>
          </reference>
        </references>
      </pivotArea>
    </format>
    <format dxfId="936">
      <pivotArea collapsedLevelsAreSubtotals="1" fieldPosition="0">
        <references count="2">
          <reference field="0" count="1" selected="0">
            <x v="1"/>
          </reference>
          <reference field="1" count="1">
            <x v="12"/>
          </reference>
        </references>
      </pivotArea>
    </format>
    <format dxfId="935">
      <pivotArea collapsedLevelsAreSubtotals="1" fieldPosition="0">
        <references count="1">
          <reference field="0" count="1">
            <x v="2"/>
          </reference>
        </references>
      </pivotArea>
    </format>
    <format dxfId="934">
      <pivotArea type="all" dataOnly="0" outline="0" fieldPosition="0"/>
    </format>
    <format dxfId="933">
      <pivotArea dataOnly="0" labelOnly="1" fieldPosition="0">
        <references count="2">
          <reference field="0" count="1" selected="0">
            <x v="1"/>
          </reference>
          <reference field="1" count="4">
            <x v="10"/>
            <x v="12"/>
            <x v="14"/>
            <x v="15"/>
          </reference>
        </references>
      </pivotArea>
    </format>
    <format dxfId="932">
      <pivotArea collapsedLevelsAreSubtotals="1" fieldPosition="0">
        <references count="2">
          <reference field="0" count="1" selected="0">
            <x v="1"/>
          </reference>
          <reference field="1" count="2">
            <x v="14"/>
            <x v="15"/>
          </reference>
        </references>
      </pivotArea>
    </format>
    <format dxfId="931">
      <pivotArea collapsedLevelsAreSubtotals="1" fieldPosition="0">
        <references count="1">
          <reference field="0" count="1">
            <x v="2"/>
          </reference>
        </references>
      </pivotArea>
    </format>
    <format dxfId="930">
      <pivotArea collapsedLevelsAreSubtotals="1" fieldPosition="0">
        <references count="2">
          <reference field="0" count="1" selected="0">
            <x v="1"/>
          </reference>
          <reference field="1" count="1">
            <x v="14"/>
          </reference>
        </references>
      </pivotArea>
    </format>
    <format dxfId="929">
      <pivotArea collapsedLevelsAreSubtotals="1" fieldPosition="0">
        <references count="1">
          <reference field="0" count="1">
            <x v="2"/>
          </reference>
        </references>
      </pivotArea>
    </format>
    <format dxfId="928">
      <pivotArea dataOnly="0" labelOnly="1" fieldPosition="0">
        <references count="2">
          <reference field="0" count="1" selected="0">
            <x v="1"/>
          </reference>
          <reference field="1" count="1">
            <x v="5"/>
          </reference>
        </references>
      </pivotArea>
    </format>
    <format dxfId="927">
      <pivotArea dataOnly="0" labelOnly="1" fieldPosition="0">
        <references count="2">
          <reference field="0" count="1" selected="0">
            <x v="1"/>
          </reference>
          <reference field="1" count="1">
            <x v="6"/>
          </reference>
        </references>
      </pivotArea>
    </format>
    <format dxfId="926">
      <pivotArea grandRow="1" outline="0" collapsedLevelsAreSubtotals="1" fieldPosition="0"/>
    </format>
    <format dxfId="925">
      <pivotArea outline="0" collapsedLevelsAreSubtotals="1" fieldPosition="0"/>
    </format>
    <format dxfId="924">
      <pivotArea dataOnly="0" labelOnly="1" fieldPosition="0">
        <references count="1">
          <reference field="0" count="0"/>
        </references>
      </pivotArea>
    </format>
    <format dxfId="923">
      <pivotArea dataOnly="0" labelOnly="1" grandRow="1" outline="0" fieldPosition="0"/>
    </format>
    <format dxfId="922">
      <pivotArea dataOnly="0" labelOnly="1" fieldPosition="0">
        <references count="2">
          <reference field="0" count="1" selected="0">
            <x v="0"/>
          </reference>
          <reference field="1" count="0"/>
        </references>
      </pivotArea>
    </format>
    <format dxfId="921">
      <pivotArea dataOnly="0" labelOnly="1" fieldPosition="0">
        <references count="1">
          <reference field="3" count="0"/>
        </references>
      </pivotArea>
    </format>
    <format dxfId="920">
      <pivotArea dataOnly="0" labelOnly="1" fieldPosition="0">
        <references count="1">
          <reference field="3" count="0" defaultSubtotal="1"/>
        </references>
      </pivotArea>
    </format>
    <format dxfId="919">
      <pivotArea dataOnly="0" labelOnly="1" grandCol="1" outline="0" fieldPosition="0"/>
    </format>
    <format dxfId="918">
      <pivotArea dataOnly="0" labelOnly="1" fieldPosition="0">
        <references count="2">
          <reference field="3" count="1" selected="0">
            <x v="1"/>
          </reference>
          <reference field="4" count="0"/>
        </references>
      </pivotArea>
    </format>
    <format dxfId="917">
      <pivotArea dataOnly="0" labelOnly="1" fieldPosition="0">
        <references count="2">
          <reference field="3" count="1" selected="0">
            <x v="2"/>
          </reference>
          <reference field="4" count="0"/>
        </references>
      </pivotArea>
    </format>
    <format dxfId="916">
      <pivotArea dataOnly="0" labelOnly="1" fieldPosition="0">
        <references count="2">
          <reference field="3" count="1" selected="0">
            <x v="3"/>
          </reference>
          <reference field="4" count="0"/>
        </references>
      </pivotArea>
    </format>
    <format dxfId="915">
      <pivotArea dataOnly="0" labelOnly="1" fieldPosition="0">
        <references count="2">
          <reference field="3" count="1" selected="0">
            <x v="4"/>
          </reference>
          <reference field="4" count="0"/>
        </references>
      </pivotArea>
    </format>
    <format dxfId="914">
      <pivotArea dataOnly="0" labelOnly="1" fieldPosition="0">
        <references count="2">
          <reference field="3" count="1" selected="0">
            <x v="5"/>
          </reference>
          <reference field="4" count="0"/>
        </references>
      </pivotArea>
    </format>
    <format dxfId="9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65">
      <pivotArea field="4" type="button" dataOnly="0" labelOnly="1" outline="0" axis="axisRow" fieldPosition="0"/>
    </format>
    <format dxfId="864">
      <pivotArea dataOnly="0" labelOnly="1" outline="0" axis="axisValues" fieldPosition="0"/>
    </format>
    <format dxfId="863">
      <pivotArea dataOnly="0" labelOnly="1" fieldPosition="0">
        <references count="1">
          <reference field="4" count="0"/>
        </references>
      </pivotArea>
    </format>
    <format dxfId="862">
      <pivotArea collapsedLevelsAreSubtotals="1" fieldPosition="0">
        <references count="1">
          <reference field="4" count="0"/>
        </references>
      </pivotArea>
    </format>
    <format dxfId="861">
      <pivotArea grandRow="1" outline="0" collapsedLevelsAreSubtotals="1" fieldPosition="0"/>
    </format>
    <format dxfId="860">
      <pivotArea dataOnly="0" labelOnly="1" grandRow="1" outline="0" fieldPosition="0"/>
    </format>
    <format dxfId="859">
      <pivotArea outline="0" collapsedLevelsAreSubtotals="1" fieldPosition="0"/>
    </format>
    <format dxfId="858">
      <pivotArea type="origin" dataOnly="0" labelOnly="1" outline="0" fieldPosition="0"/>
    </format>
    <format dxfId="857">
      <pivotArea field="1" type="button" dataOnly="0" labelOnly="1" outline="0" axis="axisCol" fieldPosition="0"/>
    </format>
    <format dxfId="856">
      <pivotArea collapsedLevelsAreSubtotals="1" fieldPosition="0">
        <references count="1">
          <reference field="4" count="0"/>
        </references>
      </pivotArea>
    </format>
    <format dxfId="855">
      <pivotArea field="4" type="button" dataOnly="0" labelOnly="1" outline="0" axis="axisRow" fieldPosition="0"/>
    </format>
    <format dxfId="854">
      <pivotArea dataOnly="0" labelOnly="1" fieldPosition="0">
        <references count="1">
          <reference field="4" count="0"/>
        </references>
      </pivotArea>
    </format>
    <format dxfId="853">
      <pivotArea dataOnly="0" labelOnly="1" fieldPosition="0">
        <references count="1">
          <reference field="1" count="0"/>
        </references>
      </pivotArea>
    </format>
    <format dxfId="852">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3"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2"/>
        <item n="Szilvia Heszler, Camp Management Project Manager_x000a_szilvia.heszler@nrc.no , Phone: + 95 (0) 9441612937_x000a_ _x000a_"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6">
    <field x="5"/>
    <field x="29"/>
    <field x="28"/>
    <field x="34"/>
    <field x="11"/>
    <field x="12"/>
  </rowFields>
  <rowItems count="25">
    <i>
      <x v="3"/>
      <x v="1"/>
      <x/>
      <x v="5"/>
      <x v="37"/>
      <x v="17"/>
    </i>
    <i r="4">
      <x v="78"/>
      <x v="18"/>
    </i>
    <i r="1">
      <x v="4"/>
      <x/>
      <x v="1"/>
      <x v="3"/>
      <x v="15"/>
    </i>
    <i r="4">
      <x v="104"/>
      <x v="16"/>
    </i>
    <i t="default">
      <x v="3"/>
    </i>
    <i>
      <x v="6"/>
      <x/>
      <x v="1"/>
      <x v="4"/>
      <x v="12"/>
      <x v="92"/>
    </i>
    <i r="4">
      <x v="22"/>
      <x v="86"/>
    </i>
    <i r="4">
      <x v="93"/>
      <x v="82"/>
    </i>
    <i r="1">
      <x v="1"/>
      <x/>
      <x v="5"/>
      <x v="13"/>
      <x v="100"/>
    </i>
    <i r="4">
      <x v="14"/>
      <x v="101"/>
    </i>
    <i r="4">
      <x v="21"/>
      <x v="38"/>
    </i>
    <i r="4">
      <x v="52"/>
      <x v="87"/>
    </i>
    <i r="4">
      <x v="53"/>
      <x v="102"/>
    </i>
    <i r="4">
      <x v="72"/>
      <x v="42"/>
    </i>
    <i r="1">
      <x v="4"/>
      <x/>
      <x v="1"/>
      <x v="9"/>
      <x v="36"/>
    </i>
    <i r="4">
      <x v="54"/>
      <x v="103"/>
    </i>
    <i r="4">
      <x v="86"/>
      <x v="43"/>
    </i>
    <i r="4">
      <x v="105"/>
      <x v="39"/>
    </i>
    <i r="4">
      <x v="106"/>
      <x v="39"/>
    </i>
    <i r="1">
      <x v="6"/>
      <x/>
      <x v="6"/>
      <x v="43"/>
      <x v="83"/>
    </i>
    <i r="4">
      <x v="92"/>
      <x v="45"/>
    </i>
    <i t="default">
      <x v="6"/>
    </i>
    <i>
      <x v="7"/>
      <x v="2"/>
      <x v="1"/>
      <x v="3"/>
      <x v="82"/>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9">
    <format dxfId="836">
      <pivotArea dataOnly="0" outline="0" fieldPosition="0">
        <references count="1">
          <reference field="5" count="0" defaultSubtotal="1"/>
        </references>
      </pivotArea>
    </format>
    <format dxfId="835">
      <pivotArea outline="0" fieldPosition="0">
        <references count="1">
          <reference field="4294967294" count="1">
            <x v="0"/>
          </reference>
        </references>
      </pivotArea>
    </format>
    <format dxfId="834">
      <pivotArea field="11" type="button" dataOnly="0" labelOnly="1" outline="0" axis="axisRow" fieldPosition="4"/>
    </format>
    <format dxfId="833">
      <pivotArea dataOnly="0" labelOnly="1" outline="0" axis="axisValues" fieldPosition="0"/>
    </format>
    <format dxfId="832">
      <pivotArea outline="0" collapsedLevelsAreSubtotals="1" fieldPosition="0">
        <references count="4">
          <reference field="5" count="1" selected="0">
            <x v="3"/>
          </reference>
          <reference field="11" count="4" selected="0">
            <x v="3"/>
            <x v="8"/>
            <x v="37"/>
            <x v="78"/>
          </reference>
          <reference field="28" count="1" selected="0">
            <x v="1"/>
          </reference>
          <reference field="29" count="1" selected="0">
            <x v="0"/>
          </reference>
        </references>
      </pivotArea>
    </format>
    <format dxfId="831">
      <pivotArea dataOnly="0" labelOnly="1" outline="0" fieldPosition="0">
        <references count="2">
          <reference field="5" count="1" selected="0">
            <x v="3"/>
          </reference>
          <reference field="29" count="1">
            <x v="0"/>
          </reference>
        </references>
      </pivotArea>
    </format>
    <format dxfId="830">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29">
      <pivotArea outline="0" collapsedLevelsAreSubtotals="1" fieldPosition="0">
        <references count="1">
          <reference field="5" count="1" selected="0" defaultSubtotal="1">
            <x v="3"/>
          </reference>
        </references>
      </pivotArea>
    </format>
    <format dxfId="828">
      <pivotArea dataOnly="0" labelOnly="1" outline="0" fieldPosition="0">
        <references count="1">
          <reference field="5" count="1" defaultSubtotal="1">
            <x v="3"/>
          </reference>
        </references>
      </pivotArea>
    </format>
    <format dxfId="827">
      <pivotArea dataOnly="0" labelOnly="1" outline="0" fieldPosition="0">
        <references count="2">
          <reference field="5" count="1" selected="0">
            <x v="6"/>
          </reference>
          <reference field="29" count="1">
            <x v="0"/>
          </reference>
        </references>
      </pivotArea>
    </format>
    <format dxfId="826">
      <pivotArea dataOnly="0" labelOnly="1" outline="0" fieldPosition="0">
        <references count="4">
          <reference field="5" count="1" selected="0">
            <x v="6"/>
          </reference>
          <reference field="11" count="3">
            <x v="71"/>
            <x v="74"/>
            <x v="86"/>
          </reference>
          <reference field="28" count="1" selected="0">
            <x v="1"/>
          </reference>
          <reference field="29" count="1" selected="0">
            <x v="0"/>
          </reference>
        </references>
      </pivotArea>
    </format>
    <format dxfId="825">
      <pivotArea dataOnly="0" labelOnly="1" outline="0" fieldPosition="0">
        <references count="1">
          <reference field="5" count="1" defaultSubtotal="1">
            <x v="6"/>
          </reference>
        </references>
      </pivotArea>
    </format>
    <format dxfId="824">
      <pivotArea grandRow="1" outline="0" collapsedLevelsAreSubtotals="1" fieldPosition="0"/>
    </format>
    <format dxfId="823">
      <pivotArea dataOnly="0" labelOnly="1" grandRow="1" outline="0" fieldPosition="0"/>
    </format>
    <format dxfId="822">
      <pivotArea type="all" dataOnly="0" outline="0" fieldPosition="0"/>
    </format>
    <format dxfId="821">
      <pivotArea dataOnly="0" labelOnly="1" outline="0" fieldPosition="0">
        <references count="1">
          <reference field="11" count="0"/>
        </references>
      </pivotArea>
    </format>
    <format dxfId="820">
      <pivotArea dataOnly="0" labelOnly="1" outline="0" fieldPosition="0">
        <references count="1">
          <reference field="5" count="0"/>
        </references>
      </pivotArea>
    </format>
    <format dxfId="819">
      <pivotArea dataOnly="0" labelOnly="1" outline="0" fieldPosition="0">
        <references count="2">
          <reference field="5" count="1" selected="0">
            <x v="3"/>
          </reference>
          <reference field="29" count="1">
            <x v="0"/>
          </reference>
        </references>
      </pivotArea>
    </format>
    <format dxfId="818">
      <pivotArea dataOnly="0" labelOnly="1" outline="0" fieldPosition="0">
        <references count="2">
          <reference field="5" count="1" selected="0">
            <x v="6"/>
          </reference>
          <reference field="29" count="2">
            <x v="1"/>
            <x v="4"/>
          </reference>
        </references>
      </pivotArea>
    </format>
    <format dxfId="817">
      <pivotArea dataOnly="0" labelOnly="1" outline="0" fieldPosition="0">
        <references count="3">
          <reference field="5" count="1" selected="0">
            <x v="3"/>
          </reference>
          <reference field="28" count="1" selected="0">
            <x v="1"/>
          </reference>
          <reference field="29" count="1">
            <x v="0"/>
          </reference>
        </references>
      </pivotArea>
    </format>
    <format dxfId="816">
      <pivotArea field="11" type="button" dataOnly="0" labelOnly="1" outline="0" axis="axisRow" fieldPosition="4"/>
    </format>
    <format dxfId="815">
      <pivotArea field="12" type="button" dataOnly="0" labelOnly="1" outline="0" axis="axisRow" fieldPosition="5"/>
    </format>
    <format dxfId="814">
      <pivotArea outline="0" collapsedLevelsAreSubtotals="1" fieldPosition="0">
        <references count="1">
          <reference field="4294967294" count="1" selected="0">
            <x v="0"/>
          </reference>
        </references>
      </pivotArea>
    </format>
    <format dxfId="813">
      <pivotArea dataOnly="0" labelOnly="1" outline="0" fieldPosition="0">
        <references count="1">
          <reference field="4294967294" count="1">
            <x v="0"/>
          </reference>
        </references>
      </pivotArea>
    </format>
    <format dxfId="812">
      <pivotArea outline="0" collapsedLevelsAreSubtotals="1" fieldPosition="0">
        <references count="1">
          <reference field="4294967294" count="1" selected="0">
            <x v="0"/>
          </reference>
        </references>
      </pivotArea>
    </format>
    <format dxfId="811">
      <pivotArea dataOnly="0" labelOnly="1" outline="0" fieldPosition="0">
        <references count="1">
          <reference field="4294967294" count="1">
            <x v="0"/>
          </reference>
        </references>
      </pivotArea>
    </format>
    <format dxfId="810">
      <pivotArea outline="0" collapsedLevelsAreSubtotals="1" fieldPosition="0">
        <references count="1">
          <reference field="5" count="1" selected="0" defaultSubtotal="1">
            <x v="3"/>
          </reference>
        </references>
      </pivotArea>
    </format>
    <format dxfId="809">
      <pivotArea dataOnly="0" labelOnly="1" outline="0" fieldPosition="0">
        <references count="1">
          <reference field="34" count="0"/>
        </references>
      </pivotArea>
    </format>
    <format dxfId="808">
      <pivotArea outline="0" collapsedLevelsAreSubtotals="1" fieldPosition="0">
        <references count="1">
          <reference field="4294967294" count="1" selected="0">
            <x v="1"/>
          </reference>
        </references>
      </pivotArea>
    </format>
    <format dxfId="807">
      <pivotArea dataOnly="0" labelOnly="1" outline="0" fieldPosition="0">
        <references count="1">
          <reference field="4294967294" count="1">
            <x v="1"/>
          </reference>
        </references>
      </pivotArea>
    </format>
    <format dxfId="806">
      <pivotArea field="34" type="button" dataOnly="0" labelOnly="1" outline="0" axis="axisRow" fieldPosition="3"/>
    </format>
    <format dxfId="805">
      <pivotArea outline="0" collapsedLevelsAreSubtotals="1" fieldPosition="0">
        <references count="1">
          <reference field="5" count="1" selected="0" defaultSubtotal="1">
            <x v="3"/>
          </reference>
        </references>
      </pivotArea>
    </format>
    <format dxfId="804">
      <pivotArea dataOnly="0" labelOnly="1" grandRow="1" outline="0" fieldPosition="0"/>
    </format>
    <format dxfId="803">
      <pivotArea grandRow="1" outline="0" collapsedLevelsAreSubtotals="1" fieldPosition="0"/>
    </format>
    <format dxfId="802">
      <pivotArea dataOnly="0" labelOnly="1" grandRow="1" outline="0" fieldPosition="0"/>
    </format>
    <format dxfId="801">
      <pivotArea type="all" dataOnly="0" outline="0" fieldPosition="0"/>
    </format>
    <format dxfId="800">
      <pivotArea outline="0" collapsedLevelsAreSubtotals="1" fieldPosition="0">
        <references count="1">
          <reference field="4294967294" count="1" selected="0">
            <x v="2"/>
          </reference>
        </references>
      </pivotArea>
    </format>
    <format dxfId="799">
      <pivotArea type="all" dataOnly="0" outline="0" fieldPosition="0"/>
    </format>
    <format dxfId="798">
      <pivotArea dataOnly="0" labelOnly="1" outline="0" fieldPosition="0">
        <references count="1">
          <reference field="5" count="0"/>
        </references>
      </pivotArea>
    </format>
    <format dxfId="797">
      <pivotArea dataOnly="0" labelOnly="1" outline="0" fieldPosition="0">
        <references count="1">
          <reference field="5" count="0" defaultSubtotal="1"/>
        </references>
      </pivotArea>
    </format>
    <format dxfId="796">
      <pivotArea dataOnly="0" labelOnly="1" outline="0" fieldPosition="0">
        <references count="2">
          <reference field="5" count="1" selected="0">
            <x v="3"/>
          </reference>
          <reference field="29" count="2">
            <x v="1"/>
            <x v="4"/>
          </reference>
        </references>
      </pivotArea>
    </format>
    <format dxfId="795">
      <pivotArea dataOnly="0" labelOnly="1" outline="0" fieldPosition="0">
        <references count="2">
          <reference field="5" count="1" selected="0">
            <x v="6"/>
          </reference>
          <reference field="29" count="4">
            <x v="0"/>
            <x v="1"/>
            <x v="4"/>
            <x v="6"/>
          </reference>
        </references>
      </pivotArea>
    </format>
    <format dxfId="794">
      <pivotArea dataOnly="0" labelOnly="1" outline="0" fieldPosition="0">
        <references count="2">
          <reference field="5" count="1" selected="0">
            <x v="7"/>
          </reference>
          <reference field="29" count="1">
            <x v="2"/>
          </reference>
        </references>
      </pivotArea>
    </format>
    <format dxfId="793">
      <pivotArea dataOnly="0" labelOnly="1" outline="0" fieldPosition="0">
        <references count="3">
          <reference field="5" count="1" selected="0">
            <x v="3"/>
          </reference>
          <reference field="28" count="1">
            <x v="0"/>
          </reference>
          <reference field="29" count="1" selected="0">
            <x v="1"/>
          </reference>
        </references>
      </pivotArea>
    </format>
    <format dxfId="792">
      <pivotArea dataOnly="0" labelOnly="1" outline="0" fieldPosition="0">
        <references count="3">
          <reference field="5" count="1" selected="0">
            <x v="6"/>
          </reference>
          <reference field="28" count="1">
            <x v="1"/>
          </reference>
          <reference field="29" count="1" selected="0">
            <x v="0"/>
          </reference>
        </references>
      </pivotArea>
    </format>
    <format dxfId="791">
      <pivotArea dataOnly="0" labelOnly="1" outline="0" fieldPosition="0">
        <references count="3">
          <reference field="5" count="1" selected="0">
            <x v="6"/>
          </reference>
          <reference field="28" count="1">
            <x v="0"/>
          </reference>
          <reference field="29" count="1" selected="0">
            <x v="1"/>
          </reference>
        </references>
      </pivotArea>
    </format>
    <format dxfId="790">
      <pivotArea dataOnly="0" labelOnly="1" outline="0" fieldPosition="0">
        <references count="3">
          <reference field="5" count="1" selected="0">
            <x v="7"/>
          </reference>
          <reference field="28" count="1">
            <x v="1"/>
          </reference>
          <reference field="29" count="1" selected="0">
            <x v="2"/>
          </reference>
        </references>
      </pivotArea>
    </format>
    <format dxfId="78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88">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87">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86">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8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84">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83">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82">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81">
      <pivotArea dataOnly="0" labelOnly="1" outline="0" fieldPosition="0">
        <references count="1">
          <reference field="5" count="0"/>
        </references>
      </pivotArea>
    </format>
    <format dxfId="780">
      <pivotArea dataOnly="0" labelOnly="1" outline="0" fieldPosition="0">
        <references count="1">
          <reference field="5" count="2" defaultSubtotal="1">
            <x v="3"/>
            <x v="6"/>
          </reference>
        </references>
      </pivotArea>
    </format>
    <format dxfId="779">
      <pivotArea dataOnly="0" labelOnly="1" outline="0" fieldPosition="0">
        <references count="2">
          <reference field="5" count="1" selected="0">
            <x v="3"/>
          </reference>
          <reference field="29" count="2">
            <x v="1"/>
            <x v="4"/>
          </reference>
        </references>
      </pivotArea>
    </format>
    <format dxfId="778">
      <pivotArea dataOnly="0" labelOnly="1" outline="0" fieldPosition="0">
        <references count="2">
          <reference field="5" count="1" selected="0">
            <x v="6"/>
          </reference>
          <reference field="29" count="4">
            <x v="0"/>
            <x v="1"/>
            <x v="4"/>
            <x v="6"/>
          </reference>
        </references>
      </pivotArea>
    </format>
    <format dxfId="777">
      <pivotArea dataOnly="0" labelOnly="1" outline="0" fieldPosition="0">
        <references count="2">
          <reference field="5" count="1" selected="0">
            <x v="7"/>
          </reference>
          <reference field="29" count="1">
            <x v="2"/>
          </reference>
        </references>
      </pivotArea>
    </format>
    <format dxfId="776">
      <pivotArea dataOnly="0" labelOnly="1" outline="0" fieldPosition="0">
        <references count="3">
          <reference field="5" count="1" selected="0">
            <x v="3"/>
          </reference>
          <reference field="28" count="1">
            <x v="0"/>
          </reference>
          <reference field="29" count="1" selected="0">
            <x v="1"/>
          </reference>
        </references>
      </pivotArea>
    </format>
    <format dxfId="775">
      <pivotArea dataOnly="0" labelOnly="1" outline="0" fieldPosition="0">
        <references count="3">
          <reference field="5" count="1" selected="0">
            <x v="6"/>
          </reference>
          <reference field="28" count="1">
            <x v="1"/>
          </reference>
          <reference field="29" count="1" selected="0">
            <x v="0"/>
          </reference>
        </references>
      </pivotArea>
    </format>
    <format dxfId="774">
      <pivotArea dataOnly="0" labelOnly="1" outline="0" fieldPosition="0">
        <references count="3">
          <reference field="5" count="1" selected="0">
            <x v="6"/>
          </reference>
          <reference field="28" count="1">
            <x v="0"/>
          </reference>
          <reference field="29" count="1" selected="0">
            <x v="1"/>
          </reference>
        </references>
      </pivotArea>
    </format>
    <format dxfId="773">
      <pivotArea dataOnly="0" labelOnly="1" outline="0" fieldPosition="0">
        <references count="3">
          <reference field="5" count="1" selected="0">
            <x v="7"/>
          </reference>
          <reference field="28" count="1">
            <x v="1"/>
          </reference>
          <reference field="29" count="1" selected="0">
            <x v="2"/>
          </reference>
        </references>
      </pivotArea>
    </format>
    <format dxfId="77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70">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69">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6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6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66">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65">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64">
      <pivotArea type="all" dataOnly="0" outline="0" fieldPosition="0"/>
    </format>
    <format dxfId="763">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2">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1">
      <pivotArea type="all" dataOnly="0" outline="0" fieldPosition="0"/>
    </format>
    <format dxfId="760">
      <pivotArea outline="0" collapsedLevelsAreSubtotals="1" fieldPosition="0"/>
    </format>
    <format dxfId="759">
      <pivotArea field="5" type="button" dataOnly="0" labelOnly="1" outline="0" axis="axisRow" fieldPosition="0"/>
    </format>
    <format dxfId="758">
      <pivotArea field="29" type="button" dataOnly="0" labelOnly="1" outline="0" axis="axisRow" fieldPosition="1"/>
    </format>
    <format dxfId="757">
      <pivotArea field="28" type="button" dataOnly="0" labelOnly="1" outline="0" axis="axisRow" fieldPosition="2"/>
    </format>
    <format dxfId="756">
      <pivotArea field="34" type="button" dataOnly="0" labelOnly="1" outline="0" axis="axisRow" fieldPosition="3"/>
    </format>
    <format dxfId="755">
      <pivotArea field="11" type="button" dataOnly="0" labelOnly="1" outline="0" axis="axisRow" fieldPosition="4"/>
    </format>
    <format dxfId="754">
      <pivotArea field="12" type="button" dataOnly="0" labelOnly="1" outline="0" axis="axisRow" fieldPosition="5"/>
    </format>
    <format dxfId="753">
      <pivotArea dataOnly="0" labelOnly="1" outline="0" fieldPosition="0">
        <references count="1">
          <reference field="5" count="0"/>
        </references>
      </pivotArea>
    </format>
    <format dxfId="752">
      <pivotArea dataOnly="0" labelOnly="1" outline="0" fieldPosition="0">
        <references count="1">
          <reference field="5" count="0" defaultSubtotal="1"/>
        </references>
      </pivotArea>
    </format>
    <format dxfId="751">
      <pivotArea dataOnly="0" labelOnly="1" grandRow="1" outline="0" fieldPosition="0"/>
    </format>
    <format dxfId="750">
      <pivotArea dataOnly="0" labelOnly="1" outline="0" fieldPosition="0">
        <references count="2">
          <reference field="5" count="1" selected="0">
            <x v="3"/>
          </reference>
          <reference field="29" count="2">
            <x v="1"/>
            <x v="4"/>
          </reference>
        </references>
      </pivotArea>
    </format>
    <format dxfId="749">
      <pivotArea dataOnly="0" labelOnly="1" outline="0" fieldPosition="0">
        <references count="2">
          <reference field="5" count="1" selected="0">
            <x v="6"/>
          </reference>
          <reference field="29" count="4">
            <x v="0"/>
            <x v="1"/>
            <x v="4"/>
            <x v="6"/>
          </reference>
        </references>
      </pivotArea>
    </format>
    <format dxfId="748">
      <pivotArea dataOnly="0" labelOnly="1" outline="0" fieldPosition="0">
        <references count="2">
          <reference field="5" count="1" selected="0">
            <x v="7"/>
          </reference>
          <reference field="29" count="1">
            <x v="2"/>
          </reference>
        </references>
      </pivotArea>
    </format>
    <format dxfId="747">
      <pivotArea dataOnly="0" labelOnly="1" outline="0" fieldPosition="0">
        <references count="3">
          <reference field="5" count="1" selected="0">
            <x v="3"/>
          </reference>
          <reference field="28" count="1">
            <x v="0"/>
          </reference>
          <reference field="29" count="1" selected="0">
            <x v="1"/>
          </reference>
        </references>
      </pivotArea>
    </format>
    <format dxfId="746">
      <pivotArea dataOnly="0" labelOnly="1" outline="0" fieldPosition="0">
        <references count="3">
          <reference field="5" count="1" selected="0">
            <x v="6"/>
          </reference>
          <reference field="28" count="1">
            <x v="1"/>
          </reference>
          <reference field="29" count="1" selected="0">
            <x v="0"/>
          </reference>
        </references>
      </pivotArea>
    </format>
    <format dxfId="745">
      <pivotArea dataOnly="0" labelOnly="1" outline="0" fieldPosition="0">
        <references count="3">
          <reference field="5" count="1" selected="0">
            <x v="6"/>
          </reference>
          <reference field="28" count="1">
            <x v="0"/>
          </reference>
          <reference field="29" count="1" selected="0">
            <x v="1"/>
          </reference>
        </references>
      </pivotArea>
    </format>
    <format dxfId="744">
      <pivotArea dataOnly="0" labelOnly="1" outline="0" fieldPosition="0">
        <references count="3">
          <reference field="5" count="1" selected="0">
            <x v="7"/>
          </reference>
          <reference field="28" count="1">
            <x v="1"/>
          </reference>
          <reference field="29" count="1" selected="0">
            <x v="2"/>
          </reference>
        </references>
      </pivotArea>
    </format>
    <format dxfId="74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4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40">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39">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738">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737">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36">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735">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34">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733">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32">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31">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73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29">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28">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27">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726">
      <pivotArea dataOnly="0" labelOnly="1" outline="0" fieldPosition="0">
        <references count="1">
          <reference field="4294967294" count="3">
            <x v="0"/>
            <x v="1"/>
            <x v="2"/>
          </reference>
        </references>
      </pivotArea>
    </format>
    <format dxfId="72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24">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23">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22">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721">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720">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19">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718">
      <pivotArea dataOnly="0" labelOnly="1" outline="0" fieldPosition="0">
        <references count="1">
          <reference field="34" count="0"/>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1"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extLst>
        <ext xmlns:x14="http://schemas.microsoft.com/office/spreadsheetml/2009/9/main" uri="{2946ED86-A175-432a-8AC1-64E0C546D7DE}">
          <x14:pivotField fillDownLabels="1"/>
        </ext>
      </extLst>
    </pivotField>
  </pivotFields>
  <rowFields count="2">
    <field x="5"/>
    <field x="11"/>
  </rowFields>
  <rowItems count="107">
    <i>
      <x/>
      <x v="30"/>
    </i>
    <i r="1">
      <x v="39"/>
    </i>
    <i>
      <x v="1"/>
      <x/>
    </i>
    <i r="1">
      <x v="1"/>
    </i>
    <i r="1">
      <x v="4"/>
    </i>
    <i r="1">
      <x v="24"/>
    </i>
    <i r="1">
      <x v="29"/>
    </i>
    <i r="1">
      <x v="36"/>
    </i>
    <i r="1">
      <x v="43"/>
    </i>
    <i r="1">
      <x v="54"/>
    </i>
    <i r="1">
      <x v="80"/>
    </i>
    <i r="1">
      <x v="86"/>
    </i>
    <i r="1">
      <x v="103"/>
    </i>
    <i>
      <x v="2"/>
      <x v="5"/>
    </i>
    <i r="1">
      <x v="10"/>
    </i>
    <i r="1">
      <x v="15"/>
    </i>
    <i r="1">
      <x v="32"/>
    </i>
    <i r="1">
      <x v="37"/>
    </i>
    <i r="1">
      <x v="38"/>
    </i>
    <i r="1">
      <x v="41"/>
    </i>
    <i r="1">
      <x v="47"/>
    </i>
    <i r="1">
      <x v="56"/>
    </i>
    <i r="1">
      <x v="89"/>
    </i>
    <i r="1">
      <x v="104"/>
    </i>
    <i r="1">
      <x v="105"/>
    </i>
    <i>
      <x v="3"/>
      <x v="7"/>
    </i>
    <i r="1">
      <x v="51"/>
    </i>
    <i r="1">
      <x v="66"/>
    </i>
    <i r="1">
      <x v="72"/>
    </i>
    <i r="1">
      <x v="73"/>
    </i>
    <i r="1">
      <x v="78"/>
    </i>
    <i r="1">
      <x v="88"/>
    </i>
    <i r="1">
      <x v="90"/>
    </i>
    <i r="1">
      <x v="95"/>
    </i>
    <i>
      <x v="4"/>
      <x v="49"/>
    </i>
    <i r="1">
      <x v="65"/>
    </i>
    <i r="1">
      <x v="71"/>
    </i>
    <i r="1">
      <x v="99"/>
    </i>
    <i r="1">
      <x v="102"/>
    </i>
    <i>
      <x v="5"/>
      <x v="31"/>
    </i>
    <i r="1">
      <x v="87"/>
    </i>
    <i>
      <x v="6"/>
      <x v="3"/>
    </i>
    <i r="1">
      <x v="8"/>
    </i>
    <i r="1">
      <x v="40"/>
    </i>
    <i r="1">
      <x v="52"/>
    </i>
    <i r="1">
      <x v="53"/>
    </i>
    <i r="1">
      <x v="83"/>
    </i>
    <i r="1">
      <x v="84"/>
    </i>
    <i>
      <x v="7"/>
      <x v="69"/>
    </i>
    <i r="1">
      <x v="70"/>
    </i>
    <i>
      <x v="8"/>
      <x v="2"/>
    </i>
    <i r="1">
      <x v="55"/>
    </i>
    <i>
      <x v="9"/>
      <x v="6"/>
    </i>
    <i r="1">
      <x v="9"/>
    </i>
    <i r="1">
      <x v="11"/>
    </i>
    <i r="1">
      <x v="12"/>
    </i>
    <i r="1">
      <x v="13"/>
    </i>
    <i r="1">
      <x v="14"/>
    </i>
    <i r="1">
      <x v="16"/>
    </i>
    <i r="1">
      <x v="17"/>
    </i>
    <i r="1">
      <x v="18"/>
    </i>
    <i r="1">
      <x v="19"/>
    </i>
    <i r="1">
      <x v="20"/>
    </i>
    <i r="1">
      <x v="21"/>
    </i>
    <i r="1">
      <x v="22"/>
    </i>
    <i r="1">
      <x v="23"/>
    </i>
    <i r="1">
      <x v="25"/>
    </i>
    <i r="1">
      <x v="26"/>
    </i>
    <i r="1">
      <x v="27"/>
    </i>
    <i r="1">
      <x v="28"/>
    </i>
    <i r="1">
      <x v="33"/>
    </i>
    <i r="1">
      <x v="34"/>
    </i>
    <i r="1">
      <x v="35"/>
    </i>
    <i r="1">
      <x v="42"/>
    </i>
    <i r="1">
      <x v="44"/>
    </i>
    <i r="1">
      <x v="45"/>
    </i>
    <i r="1">
      <x v="46"/>
    </i>
    <i r="1">
      <x v="48"/>
    </i>
    <i r="1">
      <x v="50"/>
    </i>
    <i r="1">
      <x v="57"/>
    </i>
    <i r="1">
      <x v="58"/>
    </i>
    <i r="1">
      <x v="59"/>
    </i>
    <i r="1">
      <x v="60"/>
    </i>
    <i r="1">
      <x v="61"/>
    </i>
    <i r="1">
      <x v="62"/>
    </i>
    <i r="1">
      <x v="63"/>
    </i>
    <i r="1">
      <x v="64"/>
    </i>
    <i r="1">
      <x v="67"/>
    </i>
    <i r="1">
      <x v="68"/>
    </i>
    <i r="1">
      <x v="74"/>
    </i>
    <i r="1">
      <x v="75"/>
    </i>
    <i r="1">
      <x v="76"/>
    </i>
    <i r="1">
      <x v="77"/>
    </i>
    <i r="1">
      <x v="79"/>
    </i>
    <i r="1">
      <x v="81"/>
    </i>
    <i r="1">
      <x v="82"/>
    </i>
    <i r="1">
      <x v="85"/>
    </i>
    <i r="1">
      <x v="91"/>
    </i>
    <i r="1">
      <x v="92"/>
    </i>
    <i r="1">
      <x v="93"/>
    </i>
    <i r="1">
      <x v="94"/>
    </i>
    <i r="1">
      <x v="96"/>
    </i>
    <i r="1">
      <x v="97"/>
    </i>
    <i r="1">
      <x v="98"/>
    </i>
    <i r="1">
      <x v="100"/>
    </i>
    <i r="1">
      <x v="101"/>
    </i>
    <i>
      <x v="10"/>
      <x v="106"/>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4">
    <field x="5"/>
    <field x="11"/>
    <field x="12"/>
    <field x="0"/>
  </rowFields>
  <rowItems count="41">
    <i>
      <x/>
      <x/>
      <x v="21"/>
      <x v="3"/>
    </i>
    <i r="1">
      <x v="1"/>
      <x v="24"/>
      <x v="3"/>
    </i>
    <i r="1">
      <x v="4"/>
      <x v="23"/>
      <x v="3"/>
    </i>
    <i r="1">
      <x v="24"/>
      <x v="26"/>
      <x v="3"/>
    </i>
    <i r="1">
      <x v="29"/>
      <x v="25"/>
      <x v="3"/>
    </i>
    <i r="1">
      <x v="36"/>
      <x v="29"/>
      <x v="2"/>
    </i>
    <i r="1">
      <x v="43"/>
      <x v="19"/>
      <x v="3"/>
    </i>
    <i r="1">
      <x v="80"/>
      <x v="28"/>
      <x v="3"/>
    </i>
    <i r="1">
      <x v="86"/>
      <x v="20"/>
      <x v="3"/>
    </i>
    <i r="1">
      <x v="103"/>
      <x v="27"/>
      <x v="3"/>
    </i>
    <i t="default">
      <x/>
    </i>
    <i>
      <x v="1"/>
      <x v="56"/>
      <x v="78"/>
      <x v="3"/>
    </i>
    <i t="default">
      <x v="1"/>
    </i>
    <i>
      <x v="2"/>
      <x v="7"/>
      <x v="5"/>
      <x v="3"/>
    </i>
    <i r="1">
      <x v="66"/>
      <x/>
      <x v="3"/>
    </i>
    <i r="1">
      <x v="72"/>
      <x v="7"/>
      <x v="3"/>
    </i>
    <i r="1">
      <x v="73"/>
      <x v="2"/>
      <x v="3"/>
    </i>
    <i r="1">
      <x v="78"/>
      <x v="93"/>
      <x v="3"/>
    </i>
    <i r="1">
      <x v="88"/>
      <x v="1"/>
      <x v="3"/>
    </i>
    <i r="1">
      <x v="90"/>
      <x v="4"/>
      <x v="3"/>
    </i>
    <i t="default">
      <x v="2"/>
    </i>
    <i>
      <x v="3"/>
      <x v="8"/>
      <x v="14"/>
      <x v="2"/>
    </i>
    <i t="default">
      <x v="3"/>
    </i>
    <i>
      <x v="5"/>
      <x v="2"/>
      <x v="31"/>
      <x v="3"/>
    </i>
    <i r="1">
      <x v="55"/>
      <x v="30"/>
      <x v="3"/>
    </i>
    <i t="default">
      <x v="5"/>
    </i>
    <i>
      <x v="6"/>
      <x v="48"/>
      <x v="84"/>
      <x v="2"/>
    </i>
    <i r="1">
      <x v="75"/>
      <x v="102"/>
      <x v="2"/>
    </i>
    <i r="1">
      <x v="76"/>
      <x v="103"/>
      <x v="2"/>
    </i>
    <i r="1">
      <x v="79"/>
      <x v="53"/>
      <x v="2"/>
    </i>
    <i t="default">
      <x v="6"/>
    </i>
    <i>
      <x v="7"/>
      <x v="31"/>
      <x v="12"/>
      <x v="2"/>
    </i>
    <i t="default">
      <x v="7"/>
    </i>
    <i>
      <x v="8"/>
      <x v="30"/>
      <x v="33"/>
      <x v="2"/>
    </i>
    <i t="default">
      <x v="8"/>
    </i>
    <i>
      <x v="9"/>
      <x v="65"/>
      <x v="8"/>
      <x v="3"/>
    </i>
    <i r="1">
      <x v="71"/>
      <x v="11"/>
      <x v="2"/>
    </i>
    <i r="1">
      <x v="99"/>
      <x v="104"/>
      <x v="2"/>
    </i>
    <i r="1">
      <x v="10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2">
    <format dxfId="715">
      <pivotArea outline="0" fieldPosition="0">
        <references count="1">
          <reference field="4294967294" count="1">
            <x v="1"/>
          </reference>
        </references>
      </pivotArea>
    </format>
    <format dxfId="714">
      <pivotArea outline="0" fieldPosition="0">
        <references count="1">
          <reference field="4294967294" count="1">
            <x v="0"/>
          </reference>
        </references>
      </pivotArea>
    </format>
    <format dxfId="713">
      <pivotArea field="5" type="button" dataOnly="0" labelOnly="1" outline="0" axis="axisRow" fieldPosition="0"/>
    </format>
    <format dxfId="712">
      <pivotArea field="11" type="button" dataOnly="0" labelOnly="1" outline="0" axis="axisRow" fieldPosition="1"/>
    </format>
    <format dxfId="711">
      <pivotArea field="12" type="button" dataOnly="0" labelOnly="1" outline="0" axis="axisRow" fieldPosition="2"/>
    </format>
    <format dxfId="710">
      <pivotArea field="28" type="button" dataOnly="0" labelOnly="1" outline="0"/>
    </format>
    <format dxfId="709">
      <pivotArea field="29" type="button" dataOnly="0" labelOnly="1" outline="0"/>
    </format>
    <format dxfId="708">
      <pivotArea dataOnly="0" labelOnly="1" outline="0" fieldPosition="0">
        <references count="1">
          <reference field="4294967294" count="2">
            <x v="0"/>
            <x v="1"/>
          </reference>
        </references>
      </pivotArea>
    </format>
    <format dxfId="707">
      <pivotArea type="all" dataOnly="0" outline="0" fieldPosition="0"/>
    </format>
    <format dxfId="706">
      <pivotArea outline="0" collapsedLevelsAreSubtotals="1" fieldPosition="0"/>
    </format>
    <format dxfId="705">
      <pivotArea dataOnly="0" labelOnly="1" outline="0" fieldPosition="0">
        <references count="1">
          <reference field="5" count="7">
            <x v="0"/>
            <x v="1"/>
            <x v="3"/>
            <x v="4"/>
            <x v="5"/>
            <x v="6"/>
            <x v="7"/>
          </reference>
        </references>
      </pivotArea>
    </format>
    <format dxfId="704">
      <pivotArea dataOnly="0" labelOnly="1" outline="0" fieldPosition="0">
        <references count="1">
          <reference field="5" count="7" defaultSubtotal="1">
            <x v="0"/>
            <x v="1"/>
            <x v="3"/>
            <x v="4"/>
            <x v="5"/>
            <x v="6"/>
            <x v="7"/>
          </reference>
        </references>
      </pivotArea>
    </format>
    <format dxfId="703">
      <pivotArea dataOnly="0" labelOnly="1" grandRow="1" outline="0" fieldPosition="0"/>
    </format>
    <format dxfId="702">
      <pivotArea dataOnly="0" labelOnly="1" outline="0" fieldPosition="0">
        <references count="2">
          <reference field="5" count="1" selected="0">
            <x v="0"/>
          </reference>
          <reference field="11" count="1">
            <x v="54"/>
          </reference>
        </references>
      </pivotArea>
    </format>
    <format dxfId="701">
      <pivotArea dataOnly="0" labelOnly="1" outline="0" fieldPosition="0">
        <references count="2">
          <reference field="5" count="1" selected="0">
            <x v="1"/>
          </reference>
          <reference field="11" count="1">
            <x v="56"/>
          </reference>
        </references>
      </pivotArea>
    </format>
    <format dxfId="700">
      <pivotArea dataOnly="0" labelOnly="1" outline="0" fieldPosition="0">
        <references count="2">
          <reference field="5" count="1" selected="0">
            <x v="3"/>
          </reference>
          <reference field="11" count="3">
            <x v="3"/>
            <x v="40"/>
            <x v="83"/>
          </reference>
        </references>
      </pivotArea>
    </format>
    <format dxfId="699">
      <pivotArea dataOnly="0" labelOnly="1" outline="0" fieldPosition="0">
        <references count="2">
          <reference field="5" count="1" selected="0">
            <x v="4"/>
          </reference>
          <reference field="11" count="2">
            <x v="69"/>
            <x v="70"/>
          </reference>
        </references>
      </pivotArea>
    </format>
    <format dxfId="698">
      <pivotArea dataOnly="0" labelOnly="1" outline="0" fieldPosition="0">
        <references count="2">
          <reference field="5" count="1" selected="0">
            <x v="6"/>
          </reference>
          <reference field="11" count="14">
            <x v="9"/>
            <x v="12"/>
            <x v="13"/>
            <x v="14"/>
            <x v="21"/>
            <x v="22"/>
            <x v="46"/>
            <x v="57"/>
            <x v="58"/>
            <x v="59"/>
            <x v="77"/>
            <x v="91"/>
            <x v="97"/>
            <x v="98"/>
          </reference>
        </references>
      </pivotArea>
    </format>
    <format dxfId="697">
      <pivotArea dataOnly="0" labelOnly="1" outline="0" fieldPosition="0">
        <references count="2">
          <reference field="5" count="1" selected="0">
            <x v="7"/>
          </reference>
          <reference field="11" count="2">
            <x v="31"/>
            <x v="87"/>
          </reference>
        </references>
      </pivotArea>
    </format>
    <format dxfId="696">
      <pivotArea dataOnly="0" labelOnly="1" outline="0" fieldPosition="0">
        <references count="3">
          <reference field="5" count="1" selected="0">
            <x v="0"/>
          </reference>
          <reference field="11" count="1" selected="0">
            <x v="54"/>
          </reference>
          <reference field="12" count="1">
            <x v="22"/>
          </reference>
        </references>
      </pivotArea>
    </format>
    <format dxfId="695">
      <pivotArea dataOnly="0" labelOnly="1" outline="0" fieldPosition="0">
        <references count="3">
          <reference field="5" count="1" selected="0">
            <x v="1"/>
          </reference>
          <reference field="11" count="1" selected="0">
            <x v="56"/>
          </reference>
          <reference field="12" count="1">
            <x v="78"/>
          </reference>
        </references>
      </pivotArea>
    </format>
    <format dxfId="694">
      <pivotArea dataOnly="0" labelOnly="1" outline="0" fieldPosition="0">
        <references count="3">
          <reference field="5" count="1" selected="0">
            <x v="3"/>
          </reference>
          <reference field="11" count="1" selected="0">
            <x v="3"/>
          </reference>
          <reference field="12" count="1">
            <x v="15"/>
          </reference>
        </references>
      </pivotArea>
    </format>
    <format dxfId="693">
      <pivotArea dataOnly="0" labelOnly="1" outline="0" fieldPosition="0">
        <references count="3">
          <reference field="5" count="1" selected="0">
            <x v="3"/>
          </reference>
          <reference field="11" count="1" selected="0">
            <x v="40"/>
          </reference>
          <reference field="12" count="1">
            <x v="17"/>
          </reference>
        </references>
      </pivotArea>
    </format>
    <format dxfId="692">
      <pivotArea dataOnly="0" labelOnly="1" outline="0" fieldPosition="0">
        <references count="3">
          <reference field="5" count="1" selected="0">
            <x v="3"/>
          </reference>
          <reference field="11" count="1" selected="0">
            <x v="83"/>
          </reference>
          <reference field="12" count="1">
            <x v="18"/>
          </reference>
        </references>
      </pivotArea>
    </format>
    <format dxfId="691">
      <pivotArea dataOnly="0" labelOnly="1" outline="0" fieldPosition="0">
        <references count="3">
          <reference field="5" count="1" selected="0">
            <x v="4"/>
          </reference>
          <reference field="11" count="1" selected="0">
            <x v="69"/>
          </reference>
          <reference field="12" count="1">
            <x v="35"/>
          </reference>
        </references>
      </pivotArea>
    </format>
    <format dxfId="690">
      <pivotArea dataOnly="0" labelOnly="1" outline="0" fieldPosition="0">
        <references count="3">
          <reference field="5" count="1" selected="0">
            <x v="4"/>
          </reference>
          <reference field="11" count="1" selected="0">
            <x v="70"/>
          </reference>
          <reference field="12" count="1">
            <x v="34"/>
          </reference>
        </references>
      </pivotArea>
    </format>
    <format dxfId="689">
      <pivotArea dataOnly="0" labelOnly="1" outline="0" fieldPosition="0">
        <references count="3">
          <reference field="5" count="1" selected="0">
            <x v="6"/>
          </reference>
          <reference field="11" count="1" selected="0">
            <x v="9"/>
          </reference>
          <reference field="12" count="1">
            <x v="36"/>
          </reference>
        </references>
      </pivotArea>
    </format>
    <format dxfId="688">
      <pivotArea dataOnly="0" labelOnly="1" outline="0" fieldPosition="0">
        <references count="3">
          <reference field="5" count="1" selected="0">
            <x v="6"/>
          </reference>
          <reference field="11" count="1" selected="0">
            <x v="12"/>
          </reference>
          <reference field="12" count="1">
            <x v="92"/>
          </reference>
        </references>
      </pivotArea>
    </format>
    <format dxfId="687">
      <pivotArea dataOnly="0" labelOnly="1" outline="0" fieldPosition="0">
        <references count="3">
          <reference field="5" count="1" selected="0">
            <x v="6"/>
          </reference>
          <reference field="11" count="1" selected="0">
            <x v="13"/>
          </reference>
          <reference field="12" count="1">
            <x v="98"/>
          </reference>
        </references>
      </pivotArea>
    </format>
    <format dxfId="686">
      <pivotArea dataOnly="0" labelOnly="1" outline="0" fieldPosition="0">
        <references count="3">
          <reference field="5" count="1" selected="0">
            <x v="6"/>
          </reference>
          <reference field="11" count="1" selected="0">
            <x v="14"/>
          </reference>
          <reference field="12" count="1">
            <x v="99"/>
          </reference>
        </references>
      </pivotArea>
    </format>
    <format dxfId="685">
      <pivotArea dataOnly="0" labelOnly="1" outline="0" fieldPosition="0">
        <references count="3">
          <reference field="5" count="1" selected="0">
            <x v="6"/>
          </reference>
          <reference field="11" count="1" selected="0">
            <x v="21"/>
          </reference>
          <reference field="12" count="1">
            <x v="38"/>
          </reference>
        </references>
      </pivotArea>
    </format>
    <format dxfId="684">
      <pivotArea dataOnly="0" labelOnly="1" outline="0" fieldPosition="0">
        <references count="3">
          <reference field="5" count="1" selected="0">
            <x v="6"/>
          </reference>
          <reference field="11" count="1" selected="0">
            <x v="22"/>
          </reference>
          <reference field="12" count="1">
            <x v="86"/>
          </reference>
        </references>
      </pivotArea>
    </format>
    <format dxfId="683">
      <pivotArea dataOnly="0" labelOnly="1" outline="0" fieldPosition="0">
        <references count="3">
          <reference field="5" count="1" selected="0">
            <x v="6"/>
          </reference>
          <reference field="11" count="1" selected="0">
            <x v="46"/>
          </reference>
          <reference field="12" count="1">
            <x v="83"/>
          </reference>
        </references>
      </pivotArea>
    </format>
    <format dxfId="682">
      <pivotArea dataOnly="0" labelOnly="1" outline="0" fieldPosition="0">
        <references count="3">
          <reference field="5" count="1" selected="0">
            <x v="6"/>
          </reference>
          <reference field="11" count="1" selected="0">
            <x v="57"/>
          </reference>
          <reference field="12" count="1">
            <x v="87"/>
          </reference>
        </references>
      </pivotArea>
    </format>
    <format dxfId="681">
      <pivotArea dataOnly="0" labelOnly="1" outline="0" fieldPosition="0">
        <references count="3">
          <reference field="5" count="1" selected="0">
            <x v="6"/>
          </reference>
          <reference field="11" count="1" selected="0">
            <x v="58"/>
          </reference>
          <reference field="12" count="1">
            <x v="100"/>
          </reference>
        </references>
      </pivotArea>
    </format>
    <format dxfId="680">
      <pivotArea dataOnly="0" labelOnly="1" outline="0" fieldPosition="0">
        <references count="3">
          <reference field="5" count="1" selected="0">
            <x v="6"/>
          </reference>
          <reference field="11" count="1" selected="0">
            <x v="59"/>
          </reference>
          <reference field="12" count="1">
            <x v="101"/>
          </reference>
        </references>
      </pivotArea>
    </format>
    <format dxfId="679">
      <pivotArea dataOnly="0" labelOnly="1" outline="0" fieldPosition="0">
        <references count="3">
          <reference field="5" count="1" selected="0">
            <x v="6"/>
          </reference>
          <reference field="11" count="1" selected="0">
            <x v="77"/>
          </reference>
          <reference field="12" count="1">
            <x v="42"/>
          </reference>
        </references>
      </pivotArea>
    </format>
    <format dxfId="678">
      <pivotArea dataOnly="0" labelOnly="1" outline="0" fieldPosition="0">
        <references count="3">
          <reference field="5" count="1" selected="0">
            <x v="6"/>
          </reference>
          <reference field="11" count="1" selected="0">
            <x v="91"/>
          </reference>
          <reference field="12" count="1">
            <x v="43"/>
          </reference>
        </references>
      </pivotArea>
    </format>
    <format dxfId="677">
      <pivotArea dataOnly="0" labelOnly="1" outline="0" fieldPosition="0">
        <references count="3">
          <reference field="5" count="1" selected="0">
            <x v="6"/>
          </reference>
          <reference field="11" count="1" selected="0">
            <x v="98"/>
          </reference>
          <reference field="12" count="1">
            <x v="82"/>
          </reference>
        </references>
      </pivotArea>
    </format>
    <format dxfId="676">
      <pivotArea dataOnly="0" labelOnly="1" outline="0" fieldPosition="0">
        <references count="3">
          <reference field="5" count="1" selected="0">
            <x v="7"/>
          </reference>
          <reference field="11" count="1" selected="0">
            <x v="31"/>
          </reference>
          <reference field="12" count="1">
            <x v="12"/>
          </reference>
        </references>
      </pivotArea>
    </format>
    <format dxfId="675">
      <pivotArea dataOnly="0" labelOnly="1" outline="0" fieldPosition="0">
        <references count="3">
          <reference field="5" count="1" selected="0">
            <x v="7"/>
          </reference>
          <reference field="11" count="1" selected="0">
            <x v="87"/>
          </reference>
          <reference field="12" count="1">
            <x v="13"/>
          </reference>
        </references>
      </pivotArea>
    </format>
    <format dxfId="674">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59">
    <i>
      <x v="1"/>
      <x v="5"/>
      <x v="80"/>
    </i>
    <i r="1">
      <x v="10"/>
      <x v="75"/>
    </i>
    <i r="1">
      <x v="15"/>
      <x v="95"/>
    </i>
    <i r="1">
      <x v="31"/>
      <x v="77"/>
    </i>
    <i r="1">
      <x v="34"/>
      <x v="76"/>
    </i>
    <i r="1">
      <x v="35"/>
      <x v="74"/>
    </i>
    <i r="1">
      <x v="38"/>
      <x v="79"/>
    </i>
    <i r="1">
      <x v="44"/>
      <x v="72"/>
    </i>
    <i r="1">
      <x v="84"/>
      <x v="73"/>
    </i>
    <i r="1">
      <x v="99"/>
      <x v="96"/>
    </i>
    <i r="1">
      <x v="100"/>
      <x v="97"/>
    </i>
    <i t="default">
      <x v="1"/>
    </i>
    <i>
      <x v="2"/>
      <x v="48"/>
      <x v="3"/>
    </i>
    <i r="1">
      <x v="90"/>
      <x v="6"/>
    </i>
    <i t="default">
      <x v="2"/>
    </i>
    <i>
      <x v="3"/>
      <x v="79"/>
      <x v="85"/>
    </i>
    <i t="default">
      <x v="3"/>
    </i>
    <i>
      <x v="4"/>
      <x v="64"/>
      <x v="35"/>
    </i>
    <i r="1">
      <x v="65"/>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39"/>
      <x v="58"/>
    </i>
    <i r="1">
      <x v="41"/>
      <x v="50"/>
    </i>
    <i r="1">
      <x v="42"/>
      <x v="68"/>
    </i>
    <i r="1">
      <x v="45"/>
      <x v="51"/>
    </i>
    <i r="1">
      <x v="47"/>
      <x v="59"/>
    </i>
    <i r="1">
      <x v="55"/>
      <x v="40"/>
    </i>
    <i r="1">
      <x v="56"/>
      <x v="81"/>
    </i>
    <i r="1">
      <x v="57"/>
      <x v="88"/>
    </i>
    <i r="1">
      <x v="58"/>
      <x v="89"/>
    </i>
    <i r="1">
      <x v="59"/>
      <x v="47"/>
    </i>
    <i r="1">
      <x v="62"/>
      <x v="41"/>
    </i>
    <i r="1">
      <x v="63"/>
      <x v="60"/>
    </i>
    <i r="1">
      <x v="69"/>
      <x v="94"/>
    </i>
    <i r="1">
      <x v="76"/>
      <x v="61"/>
    </i>
    <i r="1">
      <x v="77"/>
      <x v="64"/>
    </i>
    <i r="1">
      <x v="80"/>
      <x v="62"/>
    </i>
    <i r="1">
      <x v="87"/>
      <x v="90"/>
    </i>
    <i r="1">
      <x v="88"/>
      <x v="44"/>
    </i>
    <i r="1">
      <x v="89"/>
      <x v="66"/>
    </i>
    <i r="1">
      <x v="91"/>
      <x v="63"/>
    </i>
    <i r="1">
      <x v="95"/>
      <x v="71"/>
    </i>
    <i r="1">
      <x v="96"/>
      <x v="70"/>
    </i>
    <i t="default">
      <x v="6"/>
    </i>
    <i>
      <x v="9"/>
      <x v="46"/>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73">
      <pivotArea dataOnly="0" outline="0" fieldPosition="0">
        <references count="1">
          <reference field="5" count="0" defaultSubtotal="1"/>
        </references>
      </pivotArea>
    </format>
    <format dxfId="672">
      <pivotArea outline="0" fieldPosition="0">
        <references count="1">
          <reference field="4294967294" count="1">
            <x v="0"/>
          </reference>
        </references>
      </pivotArea>
    </format>
    <format dxfId="671">
      <pivotArea field="5" type="button" dataOnly="0" labelOnly="1" outline="0" axis="axisRow" fieldPosition="0"/>
    </format>
    <format dxfId="670">
      <pivotArea field="29" type="button" dataOnly="0" labelOnly="1" outline="0"/>
    </format>
    <format dxfId="669">
      <pivotArea field="28" type="button" dataOnly="0" labelOnly="1" outline="0"/>
    </format>
    <format dxfId="668">
      <pivotArea field="11" type="button" dataOnly="0" labelOnly="1" outline="0" axis="axisRow" fieldPosition="1"/>
    </format>
    <format dxfId="667">
      <pivotArea dataOnly="0" labelOnly="1" outline="0" axis="axisValues" fieldPosition="0"/>
    </format>
    <format dxfId="666">
      <pivotArea outline="0" collapsedLevelsAreSubtotals="1" fieldPosition="0">
        <references count="1">
          <reference field="5" count="1" selected="0" defaultSubtotal="1">
            <x v="3"/>
          </reference>
        </references>
      </pivotArea>
    </format>
    <format dxfId="665">
      <pivotArea dataOnly="0" labelOnly="1" outline="0" fieldPosition="0">
        <references count="1">
          <reference field="5" count="1" defaultSubtotal="1">
            <x v="3"/>
          </reference>
        </references>
      </pivotArea>
    </format>
    <format dxfId="664">
      <pivotArea dataOnly="0" labelOnly="1" outline="0" fieldPosition="0">
        <references count="1">
          <reference field="5" count="1" defaultSubtotal="1">
            <x v="6"/>
          </reference>
        </references>
      </pivotArea>
    </format>
    <format dxfId="663">
      <pivotArea grandRow="1" outline="0" collapsedLevelsAreSubtotals="1" fieldPosition="0"/>
    </format>
    <format dxfId="662">
      <pivotArea dataOnly="0" labelOnly="1" grandRow="1" outline="0" fieldPosition="0"/>
    </format>
    <format dxfId="661">
      <pivotArea type="all" dataOnly="0" outline="0" fieldPosition="0"/>
    </format>
    <format dxfId="660">
      <pivotArea dataOnly="0" labelOnly="1" outline="0" fieldPosition="0">
        <references count="1">
          <reference field="11" count="0"/>
        </references>
      </pivotArea>
    </format>
    <format dxfId="659">
      <pivotArea dataOnly="0" labelOnly="1" outline="0" fieldPosition="0">
        <references count="1">
          <reference field="5" count="0"/>
        </references>
      </pivotArea>
    </format>
    <format dxfId="658">
      <pivotArea dataOnly="0" labelOnly="1" outline="0" fieldPosition="0">
        <references count="1">
          <reference field="5" count="1" defaultSubtotal="1">
            <x v="3"/>
          </reference>
        </references>
      </pivotArea>
    </format>
    <format dxfId="657">
      <pivotArea field="11" type="button" dataOnly="0" labelOnly="1" outline="0" axis="axisRow" fieldPosition="1"/>
    </format>
    <format dxfId="656">
      <pivotArea field="12" type="button" dataOnly="0" labelOnly="1" outline="0" axis="axisRow" fieldPosition="2"/>
    </format>
    <format dxfId="655">
      <pivotArea outline="0" collapsedLevelsAreSubtotals="1" fieldPosition="0">
        <references count="1">
          <reference field="4294967294" count="1" selected="0">
            <x v="0"/>
          </reference>
        </references>
      </pivotArea>
    </format>
    <format dxfId="654">
      <pivotArea dataOnly="0" labelOnly="1" outline="0" fieldPosition="0">
        <references count="1">
          <reference field="4294967294" count="1">
            <x v="0"/>
          </reference>
        </references>
      </pivotArea>
    </format>
    <format dxfId="653">
      <pivotArea outline="0" collapsedLevelsAreSubtotals="1" fieldPosition="0">
        <references count="1">
          <reference field="4294967294" count="1" selected="0">
            <x v="0"/>
          </reference>
        </references>
      </pivotArea>
    </format>
    <format dxfId="652">
      <pivotArea dataOnly="0" labelOnly="1" outline="0" fieldPosition="0">
        <references count="1">
          <reference field="4294967294" count="1">
            <x v="0"/>
          </reference>
        </references>
      </pivotArea>
    </format>
    <format dxfId="651">
      <pivotArea dataOnly="0" labelOnly="1" outline="0" fieldPosition="0">
        <references count="1">
          <reference field="5" count="1" defaultSubtotal="1">
            <x v="3"/>
          </reference>
        </references>
      </pivotArea>
    </format>
    <format dxfId="650">
      <pivotArea outline="0" collapsedLevelsAreSubtotals="1" fieldPosition="0">
        <references count="1">
          <reference field="5" count="1" selected="0" defaultSubtotal="1">
            <x v="3"/>
          </reference>
        </references>
      </pivotArea>
    </format>
    <format dxfId="649">
      <pivotArea dataOnly="0" labelOnly="1" outline="0" fieldPosition="0">
        <references count="1">
          <reference field="5" count="1" defaultSubtotal="1">
            <x v="6"/>
          </reference>
        </references>
      </pivotArea>
    </format>
    <format dxfId="648">
      <pivotArea outline="0" collapsedLevelsAreSubtotals="1" fieldPosition="0">
        <references count="1">
          <reference field="4294967294" count="1" selected="0">
            <x v="1"/>
          </reference>
        </references>
      </pivotArea>
    </format>
    <format dxfId="647">
      <pivotArea dataOnly="0" labelOnly="1" outline="0" fieldPosition="0">
        <references count="1">
          <reference field="4294967294" count="1">
            <x v="1"/>
          </reference>
        </references>
      </pivotArea>
    </format>
    <format dxfId="646">
      <pivotArea field="34" type="button" dataOnly="0" labelOnly="1" outline="0"/>
    </format>
    <format dxfId="645">
      <pivotArea outline="0" collapsedLevelsAreSubtotals="1" fieldPosition="0">
        <references count="1">
          <reference field="5" count="1" selected="0" defaultSubtotal="1">
            <x v="3"/>
          </reference>
        </references>
      </pivotArea>
    </format>
    <format dxfId="644">
      <pivotArea dataOnly="0" labelOnly="1" grandRow="1" outline="0" fieldPosition="0"/>
    </format>
    <format dxfId="643">
      <pivotArea grandRow="1" outline="0" collapsedLevelsAreSubtotals="1" fieldPosition="0"/>
    </format>
    <format dxfId="642">
      <pivotArea dataOnly="0" labelOnly="1" grandRow="1" outline="0" fieldPosition="0"/>
    </format>
    <format dxfId="641">
      <pivotArea type="all" dataOnly="0" outline="0" fieldPosition="0"/>
    </format>
    <format dxfId="640">
      <pivotArea outline="0" collapsedLevelsAreSubtotals="1" fieldPosition="0"/>
    </format>
    <format dxfId="639">
      <pivotArea dataOnly="0" labelOnly="1" outline="0" fieldPosition="0">
        <references count="1">
          <reference field="5" count="0"/>
        </references>
      </pivotArea>
    </format>
    <format dxfId="638">
      <pivotArea dataOnly="0" labelOnly="1" outline="0" fieldPosition="0">
        <references count="1">
          <reference field="5" count="0" defaultSubtotal="1"/>
        </references>
      </pivotArea>
    </format>
    <format dxfId="637">
      <pivotArea dataOnly="0" labelOnly="1" grandRow="1" outline="0" fieldPosition="0"/>
    </format>
    <format dxfId="636">
      <pivotArea dataOnly="0" labelOnly="1" outline="0" fieldPosition="0">
        <references count="1">
          <reference field="4294967294" count="3">
            <x v="0"/>
            <x v="1"/>
            <x v="2"/>
          </reference>
        </references>
      </pivotArea>
    </format>
    <format dxfId="635">
      <pivotArea type="all" dataOnly="0" outline="0" fieldPosition="0"/>
    </format>
    <format dxfId="634">
      <pivotArea outline="0" collapsedLevelsAreSubtotals="1" fieldPosition="0">
        <references count="1">
          <reference field="4294967294" count="1" selected="0">
            <x v="2"/>
          </reference>
        </references>
      </pivotArea>
    </format>
    <format dxfId="633">
      <pivotArea dataOnly="0" labelOnly="1" outline="0" fieldPosition="0">
        <references count="1">
          <reference field="4294967294" count="1">
            <x v="2"/>
          </reference>
        </references>
      </pivotArea>
    </format>
    <format dxfId="632">
      <pivotArea field="5" grandRow="1" outline="0" collapsedLevelsAreSubtotals="1" axis="axisRow" fieldPosition="0">
        <references count="1">
          <reference field="4294967294" count="1" selected="0">
            <x v="2"/>
          </reference>
        </references>
      </pivotArea>
    </format>
    <format dxfId="631">
      <pivotArea dataOnly="0" labelOnly="1" outline="0" fieldPosition="0">
        <references count="2">
          <reference field="5" count="1" selected="0">
            <x v="6"/>
          </reference>
          <reference field="11" count="35">
            <x v="6"/>
            <x v="11"/>
            <x v="16"/>
            <x v="17"/>
            <x v="18"/>
            <x v="19"/>
            <x v="20"/>
            <x v="23"/>
            <x v="25"/>
            <x v="26"/>
            <x v="27"/>
            <x v="28"/>
            <x v="32"/>
            <x v="39"/>
            <x v="41"/>
            <x v="42"/>
            <x v="45"/>
            <x v="47"/>
            <x v="55"/>
            <x v="56"/>
            <x v="57"/>
            <x v="58"/>
            <x v="59"/>
            <x v="62"/>
            <x v="63"/>
            <x v="69"/>
            <x v="76"/>
            <x v="77"/>
            <x v="80"/>
            <x v="87"/>
            <x v="88"/>
            <x v="89"/>
            <x v="91"/>
            <x v="95"/>
            <x v="96"/>
          </reference>
        </references>
      </pivotArea>
    </format>
    <format dxfId="630">
      <pivotArea dataOnly="0" labelOnly="1" outline="0" fieldPosition="0">
        <references count="2">
          <reference field="5" count="1" selected="0">
            <x v="2"/>
          </reference>
          <reference field="11" count="2">
            <x v="48"/>
            <x v="90"/>
          </reference>
        </references>
      </pivotArea>
    </format>
    <format dxfId="629">
      <pivotArea dataOnly="0" labelOnly="1" outline="0" fieldPosition="0">
        <references count="2">
          <reference field="5" count="1" selected="0">
            <x v="1"/>
          </reference>
          <reference field="11" count="11">
            <x v="5"/>
            <x v="10"/>
            <x v="15"/>
            <x v="31"/>
            <x v="34"/>
            <x v="35"/>
            <x v="38"/>
            <x v="44"/>
            <x v="84"/>
            <x v="99"/>
            <x v="10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0"/>
        <item h="1" x="2"/>
        <item h="1" m="1" x="11"/>
        <item h="1" x="7"/>
        <item x="1"/>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43">
      <pivotArea type="all" dataOnly="0" outline="0" fieldPosition="0"/>
    </format>
    <format dxfId="542">
      <pivotArea outline="0" collapsedLevelsAreSubtotals="1" fieldPosition="0"/>
    </format>
    <format dxfId="541">
      <pivotArea field="4" type="button" dataOnly="0" labelOnly="1" outline="0" axis="axisRow" fieldPosition="0"/>
    </format>
    <format dxfId="540">
      <pivotArea dataOnly="0" labelOnly="1" outline="0" axis="axisValues" fieldPosition="0"/>
    </format>
    <format dxfId="539">
      <pivotArea dataOnly="0" labelOnly="1" fieldPosition="0">
        <references count="1">
          <reference field="4" count="0"/>
        </references>
      </pivotArea>
    </format>
    <format dxfId="538">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0"/>
        <item h="1" x="12"/>
        <item h="1" x="2"/>
        <item h="1" x="13"/>
        <item h="1" x="16"/>
        <item x="4"/>
        <item h="1" x="15"/>
        <item x="3"/>
        <item x="7"/>
        <item h="1" x="1"/>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49">
      <pivotArea type="all" dataOnly="0" outline="0" fieldPosition="0"/>
    </format>
    <format dxfId="548">
      <pivotArea outline="0" collapsedLevelsAreSubtotals="1" fieldPosition="0"/>
    </format>
    <format dxfId="547">
      <pivotArea field="1" type="button" dataOnly="0" labelOnly="1" outline="0" axis="axisRow" fieldPosition="0"/>
    </format>
    <format dxfId="546">
      <pivotArea dataOnly="0" labelOnly="1" outline="0" axis="axisValues" fieldPosition="0"/>
    </format>
    <format dxfId="545">
      <pivotArea dataOnly="0" labelOnly="1" fieldPosition="0">
        <references count="1">
          <reference field="1" count="0"/>
        </references>
      </pivotArea>
    </format>
    <format dxfId="544">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0"/>
        <item x="2"/>
        <item x="13"/>
        <item x="16"/>
        <item x="5"/>
        <item x="6"/>
        <item x="14"/>
        <item x="12"/>
        <item x="15"/>
        <item h="1" x="10"/>
        <item h="1" x="9"/>
        <item h="1" x="3"/>
        <item h="1" x="4"/>
        <item h="1" x="7"/>
        <item h="1" x="1"/>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57">
      <pivotArea field="3" type="button" dataOnly="0" labelOnly="1" outline="0" axis="axisPage" fieldPosition="0"/>
    </format>
    <format dxfId="556">
      <pivotArea dataOnly="0" labelOnly="1" outline="0" fieldPosition="0">
        <references count="1">
          <reference field="3" count="0"/>
        </references>
      </pivotArea>
    </format>
    <format dxfId="555">
      <pivotArea field="1" type="button" dataOnly="0" labelOnly="1" outline="0" axis="axisRow" fieldPosition="0"/>
    </format>
    <format dxfId="554">
      <pivotArea dataOnly="0" labelOnly="1" outline="0" axis="axisValues" fieldPosition="0"/>
    </format>
    <format dxfId="553">
      <pivotArea collapsedLevelsAreSubtotals="1" fieldPosition="0">
        <references count="1">
          <reference field="1" count="0"/>
        </references>
      </pivotArea>
    </format>
    <format dxfId="552">
      <pivotArea dataOnly="0" labelOnly="1" fieldPosition="0">
        <references count="1">
          <reference field="1" count="0"/>
        </references>
      </pivotArea>
    </format>
    <format dxfId="551">
      <pivotArea grandRow="1" outline="0" collapsedLevelsAreSubtotals="1" fieldPosition="0"/>
    </format>
    <format dxfId="550">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0"/>
        <item x="12"/>
        <item x="2"/>
        <item x="13"/>
        <item x="16"/>
        <item x="15"/>
        <item x="5"/>
        <item x="9"/>
        <item x="6"/>
        <item x="10"/>
        <item x="14"/>
        <item x="3"/>
        <item x="4"/>
        <item x="7"/>
        <item x="1"/>
        <item t="default"/>
      </items>
    </pivotField>
    <pivotField showAll="0" defaultSubtotal="0"/>
    <pivotField multipleItemSelectionAllowed="1" showAll="0"/>
    <pivotField showAll="0" sortType="ascending">
      <items count="14">
        <item m="1" x="12"/>
        <item x="3"/>
        <item x="4"/>
        <item x="8"/>
        <item x="5"/>
        <item m="1" x="9"/>
        <item x="6"/>
        <item x="0"/>
        <item x="2"/>
        <item m="1" x="11"/>
        <item x="7"/>
        <item x="1"/>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3">
      <pivotArea field="4" type="button" dataOnly="0" labelOnly="1" outline="0"/>
    </format>
    <format dxfId="532">
      <pivotArea field="4" type="button" dataOnly="0" labelOnly="1" outline="0"/>
    </format>
    <format dxfId="531">
      <pivotArea outline="0" collapsedLevelsAreSubtotals="1" fieldPosition="0"/>
    </format>
    <format dxfId="530">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0"/>
        <item x="2"/>
        <item m="1" x="11"/>
        <item x="7"/>
        <item x="1"/>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37">
      <pivotArea field="4" type="button" dataOnly="0" labelOnly="1" outline="0" axis="axisRow" fieldPosition="0"/>
    </format>
    <format dxfId="536">
      <pivotArea field="4" type="button" dataOnly="0" labelOnly="1" outline="0" axis="axisRow" fieldPosition="0"/>
    </format>
    <format dxfId="535">
      <pivotArea outline="0" collapsedLevelsAreSubtotals="1" fieldPosition="0"/>
    </format>
    <format dxfId="53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0"/>
        <item x="2"/>
        <item m="1" x="11"/>
        <item x="7"/>
        <item x="1"/>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8">
      <pivotArea type="all" dataOnly="0" outline="0" fieldPosition="0"/>
    </format>
    <format dxfId="517">
      <pivotArea type="all" dataOnly="0" outline="0" fieldPosition="0"/>
    </format>
    <format dxfId="5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ownship">
  <location ref="B6:N12"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400">
      <pivotArea type="all" dataOnly="0" outline="0" fieldPosition="0"/>
    </format>
    <format dxfId="399">
      <pivotArea outline="0" collapsedLevelsAreSubtotals="1" fieldPosition="0"/>
    </format>
    <format dxfId="398">
      <pivotArea dataOnly="0" labelOnly="1" fieldPosition="0">
        <references count="1">
          <reference field="6" count="5">
            <x v="6"/>
            <x v="7"/>
            <x v="9"/>
            <x v="10"/>
            <x v="12"/>
          </reference>
        </references>
      </pivotArea>
    </format>
    <format dxfId="397">
      <pivotArea collapsedLevelsAreSubtotals="1" fieldPosition="0">
        <references count="1">
          <reference field="6" count="5">
            <x v="6"/>
            <x v="7"/>
            <x v="9"/>
            <x v="10"/>
            <x v="12"/>
          </reference>
        </references>
      </pivotArea>
    </format>
    <format dxfId="396">
      <pivotArea dataOnly="0" labelOnly="1" fieldPosition="0">
        <references count="1">
          <reference field="6" count="5">
            <x v="6"/>
            <x v="7"/>
            <x v="9"/>
            <x v="10"/>
            <x v="12"/>
          </reference>
        </references>
      </pivotArea>
    </format>
    <format dxfId="395">
      <pivotArea collapsedLevelsAreSubtotals="1" fieldPosition="0">
        <references count="1">
          <reference field="6" count="5">
            <x v="6"/>
            <x v="7"/>
            <x v="9"/>
            <x v="10"/>
            <x v="12"/>
          </reference>
        </references>
      </pivotArea>
    </format>
    <format dxfId="394">
      <pivotArea field="6" type="button" dataOnly="0" labelOnly="1" outline="0" axis="axisRow" fieldPosition="0"/>
    </format>
    <format dxfId="393">
      <pivotArea field="6" type="button" dataOnly="0" labelOnly="1" outline="0" axis="axisRow" fieldPosition="0"/>
    </format>
    <format dxfId="392">
      <pivotArea field="6" type="button" dataOnly="0" labelOnly="1" outline="0" axis="axisRow" fieldPosition="0"/>
    </format>
    <format dxfId="391">
      <pivotArea grandRow="1" outline="0" collapsedLevelsAreSubtotals="1" fieldPosition="0"/>
    </format>
    <format dxfId="390">
      <pivotArea dataOnly="0" labelOnly="1" grandRow="1" outline="0" fieldPosition="0"/>
    </format>
    <format dxfId="389">
      <pivotArea grandRow="1" outline="0" collapsedLevelsAreSubtotals="1" fieldPosition="0"/>
    </format>
    <format dxfId="388">
      <pivotArea dataOnly="0" labelOnly="1" grandRow="1" outline="0" fieldPosition="0"/>
    </format>
    <format dxfId="387">
      <pivotArea grandRow="1" outline="0" collapsedLevelsAreSubtotals="1" fieldPosition="0"/>
    </format>
    <format dxfId="386">
      <pivotArea dataOnly="0" labelOnly="1" grandRow="1" outline="0" fieldPosition="0"/>
    </format>
    <format dxfId="385">
      <pivotArea collapsedLevelsAreSubtotals="1" fieldPosition="0">
        <references count="1">
          <reference field="6" count="5">
            <x v="6"/>
            <x v="7"/>
            <x v="9"/>
            <x v="10"/>
            <x v="12"/>
          </reference>
        </references>
      </pivotArea>
    </format>
    <format dxfId="384">
      <pivotArea dataOnly="0" labelOnly="1" fieldPosition="0">
        <references count="1">
          <reference field="6" count="5">
            <x v="6"/>
            <x v="7"/>
            <x v="9"/>
            <x v="10"/>
            <x v="12"/>
          </reference>
        </references>
      </pivotArea>
    </format>
    <format dxfId="383">
      <pivotArea collapsedLevelsAreSubtotals="1" fieldPosition="0">
        <references count="1">
          <reference field="6" count="5">
            <x v="6"/>
            <x v="7"/>
            <x v="9"/>
            <x v="10"/>
            <x v="12"/>
          </reference>
        </references>
      </pivotArea>
    </format>
    <format dxfId="382">
      <pivotArea dataOnly="0" labelOnly="1" fieldPosition="0">
        <references count="1">
          <reference field="6" count="5">
            <x v="6"/>
            <x v="7"/>
            <x v="9"/>
            <x v="10"/>
            <x v="12"/>
          </reference>
        </references>
      </pivotArea>
    </format>
    <format dxfId="381">
      <pivotArea field="6" type="button" dataOnly="0" labelOnly="1" outline="0" axis="axisRow" fieldPosition="0"/>
    </format>
    <format dxfId="380">
      <pivotArea field="6" grandRow="1" outline="0" collapsedLevelsAreSubtotals="1" axis="axisRow" fieldPosition="0">
        <references count="1">
          <reference field="4294967294" count="1" selected="0">
            <x v="5"/>
          </reference>
        </references>
      </pivotArea>
    </format>
  </formats>
  <chartFormats count="12">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0" format="5" series="1">
      <pivotArea type="data" outline="0" fieldPosition="0">
        <references count="1">
          <reference field="4294967294" count="1" selected="0">
            <x v="5"/>
          </reference>
        </references>
      </pivotArea>
    </chartFormat>
    <chartFormat chart="10" format="6" series="1">
      <pivotArea type="data" outline="0" fieldPosition="0">
        <references count="1">
          <reference field="4294967294" count="1" selected="0">
            <x v="6"/>
          </reference>
        </references>
      </pivotArea>
    </chartFormat>
    <chartFormat chart="10" format="7" series="1">
      <pivotArea type="data" outline="0" fieldPosition="0">
        <references count="1">
          <reference field="4294967294" count="1" selected="0">
            <x v="7"/>
          </reference>
        </references>
      </pivotArea>
    </chartFormat>
    <chartFormat chart="10" format="8" series="1">
      <pivotArea type="data" outline="0" fieldPosition="0">
        <references count="1">
          <reference field="4294967294" count="1" selected="0">
            <x v="8"/>
          </reference>
        </references>
      </pivotArea>
    </chartFormat>
    <chartFormat chart="10" format="9" series="1">
      <pivotArea type="data" outline="0" fieldPosition="0">
        <references count="1">
          <reference field="4294967294" count="1" selected="0">
            <x v="9"/>
          </reference>
        </references>
      </pivotArea>
    </chartFormat>
    <chartFormat chart="10" format="10" series="1">
      <pivotArea type="data" outline="0" fieldPosition="0">
        <references count="1">
          <reference field="4294967294" count="1" selected="0">
            <x v="10"/>
          </reference>
        </references>
      </pivotArea>
    </chartFormat>
    <chartFormat chart="10" format="11" series="1">
      <pivotArea type="data" outline="0" fieldPosition="0">
        <references count="1">
          <reference field="4294967294" count="1" selected="0">
            <x v="11"/>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8"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5">
    <field x="5"/>
    <field x="11"/>
    <field x="12"/>
    <field x="29"/>
    <field x="28"/>
  </rowFields>
  <rowItems count="30">
    <i>
      <x/>
      <x v="54"/>
      <x v="22"/>
      <x/>
      <x v="1"/>
    </i>
    <i t="default">
      <x/>
    </i>
    <i>
      <x v="3"/>
      <x v="3"/>
      <x v="15"/>
      <x v="2"/>
      <x/>
    </i>
    <i r="1">
      <x v="40"/>
      <x v="17"/>
      <x v="1"/>
      <x/>
    </i>
    <i r="1">
      <x v="52"/>
      <x v="16"/>
      <x v="2"/>
      <x/>
    </i>
    <i r="1">
      <x v="53"/>
      <x v="16"/>
      <x v="2"/>
      <x/>
    </i>
    <i r="1">
      <x v="83"/>
      <x v="18"/>
      <x v="1"/>
      <x/>
    </i>
    <i t="default">
      <x v="3"/>
    </i>
    <i>
      <x v="6"/>
      <x v="9"/>
      <x v="36"/>
      <x v="2"/>
      <x/>
    </i>
    <i r="1">
      <x v="12"/>
      <x v="92"/>
      <x/>
      <x v="1"/>
    </i>
    <i r="1">
      <x v="13"/>
      <x v="98"/>
      <x v="1"/>
      <x/>
    </i>
    <i r="1">
      <x v="14"/>
      <x v="99"/>
      <x v="1"/>
      <x/>
    </i>
    <i r="1">
      <x v="21"/>
      <x v="38"/>
      <x v="1"/>
      <x/>
    </i>
    <i r="1">
      <x v="22"/>
      <x v="86"/>
      <x/>
      <x v="1"/>
    </i>
    <i r="1">
      <x v="34"/>
      <x v="39"/>
      <x v="2"/>
      <x/>
    </i>
    <i r="1">
      <x v="35"/>
      <x v="39"/>
      <x v="2"/>
      <x/>
    </i>
    <i r="1">
      <x v="46"/>
      <x v="83"/>
      <x v="6"/>
      <x/>
    </i>
    <i r="1">
      <x v="57"/>
      <x v="87"/>
      <x v="1"/>
      <x/>
    </i>
    <i r="1">
      <x v="58"/>
      <x v="100"/>
      <x v="1"/>
      <x/>
    </i>
    <i r="1">
      <x v="59"/>
      <x v="101"/>
      <x v="2"/>
      <x/>
    </i>
    <i r="1">
      <x v="77"/>
      <x v="42"/>
      <x v="1"/>
      <x/>
    </i>
    <i r="1">
      <x v="91"/>
      <x v="43"/>
      <x v="2"/>
      <x/>
    </i>
    <i r="1">
      <x v="97"/>
      <x v="45"/>
      <x v="6"/>
      <x/>
    </i>
    <i r="1">
      <x v="98"/>
      <x v="82"/>
      <x/>
      <x v="1"/>
    </i>
    <i t="default">
      <x v="6"/>
    </i>
    <i>
      <x v="7"/>
      <x v="87"/>
      <x v="13"/>
      <x v="3"/>
      <x v="1"/>
    </i>
    <i t="default">
      <x v="7"/>
    </i>
    <i>
      <x v="8"/>
      <x v="39"/>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61">
      <pivotArea outline="0" fieldPosition="0">
        <references count="1">
          <reference field="4294967294" count="1">
            <x v="1"/>
          </reference>
        </references>
      </pivotArea>
    </format>
    <format dxfId="1160">
      <pivotArea outline="0" fieldPosition="0">
        <references count="1">
          <reference field="4294967294" count="1">
            <x v="0"/>
          </reference>
        </references>
      </pivotArea>
    </format>
    <format dxfId="1159">
      <pivotArea field="5" type="button" dataOnly="0" labelOnly="1" outline="0" axis="axisRow" fieldPosition="0"/>
    </format>
    <format dxfId="1158">
      <pivotArea field="11" type="button" dataOnly="0" labelOnly="1" outline="0" axis="axisRow" fieldPosition="1"/>
    </format>
    <format dxfId="1157">
      <pivotArea field="12" type="button" dataOnly="0" labelOnly="1" outline="0" axis="axisRow" fieldPosition="2"/>
    </format>
    <format dxfId="1156">
      <pivotArea field="28" type="button" dataOnly="0" labelOnly="1" outline="0" axis="axisRow" fieldPosition="4"/>
    </format>
    <format dxfId="1155">
      <pivotArea field="29" type="button" dataOnly="0" labelOnly="1" outline="0" axis="axisRow" fieldPosition="3"/>
    </format>
    <format dxfId="1154">
      <pivotArea dataOnly="0" labelOnly="1" outline="0" fieldPosition="0">
        <references count="1">
          <reference field="4294967294" count="2">
            <x v="0"/>
            <x v="1"/>
          </reference>
        </references>
      </pivotArea>
    </format>
    <format dxfId="1153">
      <pivotArea type="all" dataOnly="0" outline="0" fieldPosition="0"/>
    </format>
    <format dxfId="1152">
      <pivotArea outline="0" collapsedLevelsAreSubtotals="1" fieldPosition="0"/>
    </format>
    <format dxfId="1151">
      <pivotArea dataOnly="0" labelOnly="1" outline="0" fieldPosition="0">
        <references count="1">
          <reference field="5" count="7">
            <x v="0"/>
            <x v="1"/>
            <x v="3"/>
            <x v="4"/>
            <x v="5"/>
            <x v="6"/>
            <x v="7"/>
          </reference>
        </references>
      </pivotArea>
    </format>
    <format dxfId="1150">
      <pivotArea dataOnly="0" labelOnly="1" outline="0" fieldPosition="0">
        <references count="1">
          <reference field="5" count="7" defaultSubtotal="1">
            <x v="0"/>
            <x v="1"/>
            <x v="3"/>
            <x v="4"/>
            <x v="5"/>
            <x v="6"/>
            <x v="7"/>
          </reference>
        </references>
      </pivotArea>
    </format>
    <format dxfId="1149">
      <pivotArea dataOnly="0" labelOnly="1" grandRow="1" outline="0" fieldPosition="0"/>
    </format>
    <format dxfId="1148">
      <pivotArea dataOnly="0" labelOnly="1" outline="0" fieldPosition="0">
        <references count="1">
          <reference field="4294967294" count="3">
            <x v="0"/>
            <x v="1"/>
            <x v="2"/>
          </reference>
        </references>
      </pivotArea>
    </format>
    <format dxfId="1147">
      <pivotArea type="all" dataOnly="0" outline="0" fieldPosition="0"/>
    </format>
    <format dxfId="1146">
      <pivotArea outline="0" collapsedLevelsAreSubtotals="1" fieldPosition="0"/>
    </format>
    <format dxfId="1145">
      <pivotArea field="5" type="button" dataOnly="0" labelOnly="1" outline="0" axis="axisRow" fieldPosition="0"/>
    </format>
    <format dxfId="1144">
      <pivotArea field="11" type="button" dataOnly="0" labelOnly="1" outline="0" axis="axisRow" fieldPosition="1"/>
    </format>
    <format dxfId="1143">
      <pivotArea field="12" type="button" dataOnly="0" labelOnly="1" outline="0" axis="axisRow" fieldPosition="2"/>
    </format>
    <format dxfId="1142">
      <pivotArea field="29" type="button" dataOnly="0" labelOnly="1" outline="0" axis="axisRow" fieldPosition="3"/>
    </format>
    <format dxfId="1141">
      <pivotArea field="28" type="button" dataOnly="0" labelOnly="1" outline="0" axis="axisRow" fieldPosition="4"/>
    </format>
    <format dxfId="1140">
      <pivotArea dataOnly="0" labelOnly="1" outline="0" fieldPosition="0">
        <references count="1">
          <reference field="5" count="5">
            <x v="0"/>
            <x v="3"/>
            <x v="6"/>
            <x v="7"/>
            <x v="8"/>
          </reference>
        </references>
      </pivotArea>
    </format>
    <format dxfId="1139">
      <pivotArea dataOnly="0" labelOnly="1" outline="0" fieldPosition="0">
        <references count="1">
          <reference field="5" count="5" defaultSubtotal="1">
            <x v="0"/>
            <x v="3"/>
            <x v="6"/>
            <x v="7"/>
            <x v="8"/>
          </reference>
        </references>
      </pivotArea>
    </format>
    <format dxfId="1138">
      <pivotArea dataOnly="0" labelOnly="1" grandRow="1" outline="0" fieldPosition="0"/>
    </format>
    <format dxfId="1137">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1"/>
        <item x="17"/>
        <item x="11"/>
        <item x="19"/>
        <item x="24"/>
        <item x="2"/>
        <item x="15"/>
        <item x="4"/>
        <item x="18"/>
        <item x="13"/>
        <item x="23"/>
        <item x="3"/>
        <item x="7"/>
        <item x="14"/>
        <item x="20"/>
        <item x="8"/>
        <item x="5"/>
        <item x="10"/>
        <item m="1" x="28"/>
        <item x="22"/>
        <item x="0"/>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6" cacheId="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2"/>
        <item h="1" x="15"/>
        <item x="4"/>
        <item x="18"/>
        <item h="1" x="13"/>
        <item x="23"/>
        <item x="3"/>
        <item h="1" x="14"/>
        <item x="20"/>
        <item x="8"/>
        <item x="5"/>
        <item m="1" x="28"/>
        <item x="22"/>
        <item x="0"/>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413">
      <pivotArea type="all" dataOnly="0" outline="0" fieldPosition="0"/>
    </format>
    <format dxfId="412">
      <pivotArea outline="0" collapsedLevelsAreSubtotals="1" fieldPosition="0"/>
    </format>
    <format dxfId="411">
      <pivotArea field="3" type="button" dataOnly="0" labelOnly="1" outline="0" axis="axisRow" fieldPosition="0"/>
    </format>
    <format dxfId="410">
      <pivotArea dataOnly="0" labelOnly="1" grandRow="1" outline="0" fieldPosition="0"/>
    </format>
    <format dxfId="409">
      <pivotArea field="3" type="button" dataOnly="0" labelOnly="1" outline="0" axis="axisRow" fieldPosition="0"/>
    </format>
    <format dxfId="408">
      <pivotArea field="3" type="button" dataOnly="0" labelOnly="1" outline="0" axis="axisRow" fieldPosition="0"/>
    </format>
    <format dxfId="407">
      <pivotArea dataOnly="0" labelOnly="1" grandRow="1" outline="0" fieldPosition="0"/>
    </format>
    <format dxfId="406">
      <pivotArea grandRow="1" outline="0" collapsedLevelsAreSubtotals="1" fieldPosition="0"/>
    </format>
    <format dxfId="405">
      <pivotArea field="3" type="button" dataOnly="0" labelOnly="1" outline="0" axis="axisRow" fieldPosition="0"/>
    </format>
    <format dxfId="404">
      <pivotArea dataOnly="0" labelOnly="1" outline="0" fieldPosition="0">
        <references count="1">
          <reference field="4294967294" count="11">
            <x v="0"/>
            <x v="1"/>
            <x v="2"/>
            <x v="3"/>
            <x v="4"/>
            <x v="5"/>
            <x v="6"/>
            <x v="7"/>
            <x v="8"/>
            <x v="9"/>
            <x v="10"/>
          </reference>
        </references>
      </pivotArea>
    </format>
    <format dxfId="403">
      <pivotArea dataOnly="0" labelOnly="1" outline="0" fieldPosition="0">
        <references count="1">
          <reference field="4294967294" count="11">
            <x v="0"/>
            <x v="1"/>
            <x v="2"/>
            <x v="3"/>
            <x v="4"/>
            <x v="5"/>
            <x v="6"/>
            <x v="7"/>
            <x v="8"/>
            <x v="9"/>
            <x v="10"/>
          </reference>
        </references>
      </pivotArea>
    </format>
    <format dxfId="402">
      <pivotArea dataOnly="0" labelOnly="1" outline="0" fieldPosition="0">
        <references count="1">
          <reference field="4294967294" count="1">
            <x v="11"/>
          </reference>
        </references>
      </pivotArea>
    </format>
    <format dxfId="401">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0">
        <item h="1" x="8"/>
        <item h="1" x="6"/>
        <item h="1" x="5"/>
        <item h="1" x="4"/>
        <item h="1" x="3"/>
        <item h="1" x="2"/>
        <item x="1"/>
        <item h="1" x="7"/>
        <item x="0"/>
        <item t="default"/>
      </items>
    </pivotField>
    <pivotField showAll="0"/>
    <pivotField axis="axisRow" showAll="0">
      <items count="31">
        <item x="25"/>
        <item x="21"/>
        <item h="1" x="12"/>
        <item x="1"/>
        <item h="1" x="17"/>
        <item x="19"/>
        <item x="24"/>
        <item x="2"/>
        <item h="1" x="15"/>
        <item x="4"/>
        <item x="18"/>
        <item h="1" x="13"/>
        <item x="23"/>
        <item x="3"/>
        <item h="1" x="14"/>
        <item x="20"/>
        <item x="8"/>
        <item x="5"/>
        <item m="1" x="28"/>
        <item x="22"/>
        <item x="0"/>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427">
      <pivotArea dataOnly="0" labelOnly="1" fieldPosition="0">
        <references count="1">
          <reference field="3" count="11">
            <x v="2"/>
            <x v="4"/>
            <x v="8"/>
            <x v="9"/>
            <x v="11"/>
            <x v="13"/>
            <x v="14"/>
            <x v="16"/>
            <x v="17"/>
            <x v="20"/>
            <x v="23"/>
          </reference>
        </references>
      </pivotArea>
    </format>
    <format dxfId="426">
      <pivotArea dataOnly="0" labelOnly="1" grandRow="1" outline="0" fieldPosition="0"/>
    </format>
    <format dxfId="425">
      <pivotArea dataOnly="0" labelOnly="1" grandRow="1" outline="0" fieldPosition="0"/>
    </format>
    <format dxfId="424">
      <pivotArea dataOnly="0" labelOnly="1" fieldPosition="0">
        <references count="1">
          <reference field="3" count="11">
            <x v="2"/>
            <x v="4"/>
            <x v="8"/>
            <x v="9"/>
            <x v="11"/>
            <x v="13"/>
            <x v="14"/>
            <x v="16"/>
            <x v="17"/>
            <x v="20"/>
            <x v="23"/>
          </reference>
        </references>
      </pivotArea>
    </format>
    <format dxfId="423">
      <pivotArea field="3" type="button" dataOnly="0" labelOnly="1" outline="0" axis="axisRow" fieldPosition="0"/>
    </format>
    <format dxfId="422">
      <pivotArea dataOnly="0" labelOnly="1" fieldPosition="0">
        <references count="1">
          <reference field="3" count="3">
            <x v="21"/>
            <x v="23"/>
            <x v="26"/>
          </reference>
        </references>
      </pivotArea>
    </format>
    <format dxfId="421">
      <pivotArea dataOnly="0" labelOnly="1" fieldPosition="0">
        <references count="1">
          <reference field="3" count="1">
            <x v="3"/>
          </reference>
        </references>
      </pivotArea>
    </format>
    <format dxfId="420">
      <pivotArea dataOnly="0" labelOnly="1" fieldPosition="0">
        <references count="1">
          <reference field="3" count="1">
            <x v="27"/>
          </reference>
        </references>
      </pivotArea>
    </format>
    <format dxfId="419">
      <pivotArea dataOnly="0" labelOnly="1" fieldPosition="0">
        <references count="1">
          <reference field="3" count="2">
            <x v="26"/>
            <x v="27"/>
          </reference>
        </references>
      </pivotArea>
    </format>
    <format dxfId="418">
      <pivotArea dataOnly="0" labelOnly="1" fieldPosition="0">
        <references count="1">
          <reference field="3" count="1">
            <x v="28"/>
          </reference>
        </references>
      </pivotArea>
    </format>
    <format dxfId="417">
      <pivotArea dataOnly="0" labelOnly="1" fieldPosition="0">
        <references count="1">
          <reference field="3" count="1">
            <x v="29"/>
          </reference>
        </references>
      </pivotArea>
    </format>
    <format dxfId="416">
      <pivotArea dataOnly="0" labelOnly="1" fieldPosition="0">
        <references count="1">
          <reference field="3" count="2">
            <x v="28"/>
            <x v="29"/>
          </reference>
        </references>
      </pivotArea>
    </format>
    <format dxfId="415">
      <pivotArea dataOnly="0" labelOnly="1" fieldPosition="0">
        <references count="1">
          <reference field="3" count="1">
            <x v="7"/>
          </reference>
        </references>
      </pivotArea>
    </format>
    <format dxfId="414">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0">
        <item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2" firstHeaderRow="0" firstDataRow="1" firstDataCol="1" rowPageCount="2" colPageCount="1"/>
  <pivotFields count="50">
    <pivotField subtotalTop="0" showAll="0"/>
    <pivotField axis="axisRow" subtotalTop="0" multipleItemSelectionAllowed="1" showAll="0">
      <items count="10">
        <item x="6"/>
        <item x="5"/>
        <item x="4"/>
        <item x="3"/>
        <item x="2"/>
        <item x="7"/>
        <item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356">
      <pivotArea outline="0" collapsedLevelsAreSubtotals="1" fieldPosition="0"/>
    </format>
    <format dxfId="355">
      <pivotArea type="all" dataOnly="0" outline="0" fieldPosition="0"/>
    </format>
    <format dxfId="354">
      <pivotArea outline="0" collapsedLevelsAreSubtotals="1" fieldPosition="0"/>
    </format>
    <format dxfId="353">
      <pivotArea field="1" type="button" dataOnly="0" labelOnly="1" outline="0" axis="axisRow" fieldPosition="0"/>
    </format>
    <format dxfId="352">
      <pivotArea dataOnly="0" labelOnly="1" fieldPosition="0">
        <references count="1">
          <reference field="1" count="0"/>
        </references>
      </pivotArea>
    </format>
    <format dxfId="351">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8" firstHeaderRow="0" firstDataRow="1" firstDataCol="1" rowPageCount="2" colPageCount="1"/>
  <pivotFields count="50">
    <pivotField showAll="0"/>
    <pivotField axis="axisRow" showAll="0">
      <items count="10">
        <item x="6"/>
        <item x="5"/>
        <item x="4"/>
        <item x="3"/>
        <item x="2"/>
        <item h="1" x="7"/>
        <item h="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364">
      <pivotArea outline="0" collapsedLevelsAreSubtotals="1" fieldPosition="0"/>
    </format>
    <format dxfId="363">
      <pivotArea type="all" dataOnly="0" outline="0" fieldPosition="0"/>
    </format>
    <format dxfId="362">
      <pivotArea outline="0" collapsedLevelsAreSubtotals="1" fieldPosition="0"/>
    </format>
    <format dxfId="361">
      <pivotArea field="1" type="button" dataOnly="0" labelOnly="1" outline="0" axis="axisRow" fieldPosition="0"/>
    </format>
    <format dxfId="360">
      <pivotArea dataOnly="0" labelOnly="1" fieldPosition="0">
        <references count="1">
          <reference field="1" count="0"/>
        </references>
      </pivotArea>
    </format>
    <format dxfId="359">
      <pivotArea dataOnly="0" labelOnly="1" grandRow="1" outline="0" fieldPosition="0"/>
    </format>
    <format dxfId="358">
      <pivotArea field="1" grandRow="1" outline="0" collapsedLevelsAreSubtotals="1" axis="axisRow" fieldPosition="0">
        <references count="1">
          <reference field="4294967294" count="1" selected="0">
            <x v="1"/>
          </reference>
        </references>
      </pivotArea>
    </format>
    <format dxfId="357">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dataField="1"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25">
    <i>
      <x v="3"/>
      <x v="3"/>
      <x v="15"/>
    </i>
    <i r="1">
      <x v="37"/>
      <x v="17"/>
    </i>
    <i r="1">
      <x v="78"/>
      <x v="18"/>
    </i>
    <i r="1">
      <x v="104"/>
      <x v="16"/>
    </i>
    <i t="default">
      <x v="3"/>
    </i>
    <i>
      <x v="6"/>
      <x v="9"/>
      <x v="36"/>
    </i>
    <i r="1">
      <x v="12"/>
      <x v="92"/>
    </i>
    <i r="1">
      <x v="13"/>
      <x v="100"/>
    </i>
    <i r="1">
      <x v="14"/>
      <x v="101"/>
    </i>
    <i r="1">
      <x v="21"/>
      <x v="38"/>
    </i>
    <i r="1">
      <x v="22"/>
      <x v="86"/>
    </i>
    <i r="1">
      <x v="43"/>
      <x v="83"/>
    </i>
    <i r="1">
      <x v="52"/>
      <x v="87"/>
    </i>
    <i r="1">
      <x v="53"/>
      <x v="102"/>
    </i>
    <i r="1">
      <x v="54"/>
      <x v="103"/>
    </i>
    <i r="1">
      <x v="72"/>
      <x v="42"/>
    </i>
    <i r="1">
      <x v="86"/>
      <x v="43"/>
    </i>
    <i r="1">
      <x v="92"/>
      <x v="45"/>
    </i>
    <i r="1">
      <x v="93"/>
      <x v="82"/>
    </i>
    <i r="1">
      <x v="105"/>
      <x v="39"/>
    </i>
    <i r="1">
      <x v="106"/>
      <x v="39"/>
    </i>
    <i t="default">
      <x v="6"/>
    </i>
    <i>
      <x v="7"/>
      <x v="82"/>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3">
    <format dxfId="1087">
      <pivotArea dataOnly="0" outline="0" fieldPosition="0">
        <references count="1">
          <reference field="5" count="0" defaultSubtotal="1"/>
        </references>
      </pivotArea>
    </format>
    <format dxfId="1086">
      <pivotArea outline="0" fieldPosition="0">
        <references count="1">
          <reference field="4294967294" count="1">
            <x v="1"/>
          </reference>
        </references>
      </pivotArea>
    </format>
    <format dxfId="1085">
      <pivotArea field="5" type="button" dataOnly="0" labelOnly="1" outline="0" axis="axisRow" fieldPosition="0"/>
    </format>
    <format dxfId="1084">
      <pivotArea field="29" type="button" dataOnly="0" labelOnly="1" outline="0"/>
    </format>
    <format dxfId="1083">
      <pivotArea field="28" type="button" dataOnly="0" labelOnly="1" outline="0"/>
    </format>
    <format dxfId="1082">
      <pivotArea field="11" type="button" dataOnly="0" labelOnly="1" outline="0" axis="axisRow" fieldPosition="1"/>
    </format>
    <format dxfId="1081">
      <pivotArea dataOnly="0" labelOnly="1" outline="0" axis="axisValues" fieldPosition="0"/>
    </format>
    <format dxfId="1080">
      <pivotArea dataOnly="0" labelOnly="1" outline="0" fieldPosition="0">
        <references count="1">
          <reference field="5" count="1">
            <x v="3"/>
          </reference>
        </references>
      </pivotArea>
    </format>
    <format dxfId="1079">
      <pivotArea outline="0" collapsedLevelsAreSubtotals="1" fieldPosition="0">
        <references count="1">
          <reference field="5" count="1" selected="0" defaultSubtotal="1">
            <x v="3"/>
          </reference>
        </references>
      </pivotArea>
    </format>
    <format dxfId="1078">
      <pivotArea dataOnly="0" labelOnly="1" outline="0" fieldPosition="0">
        <references count="1">
          <reference field="5" count="1" defaultSubtotal="1">
            <x v="3"/>
          </reference>
        </references>
      </pivotArea>
    </format>
    <format dxfId="1077">
      <pivotArea dataOnly="0" labelOnly="1" outline="0" fieldPosition="0">
        <references count="1">
          <reference field="5" count="1">
            <x v="6"/>
          </reference>
        </references>
      </pivotArea>
    </format>
    <format dxfId="1076">
      <pivotArea outline="0" collapsedLevelsAreSubtotals="1" fieldPosition="0">
        <references count="1">
          <reference field="5" count="1" selected="0" defaultSubtotal="1">
            <x v="6"/>
          </reference>
        </references>
      </pivotArea>
    </format>
    <format dxfId="1075">
      <pivotArea dataOnly="0" labelOnly="1" outline="0" fieldPosition="0">
        <references count="1">
          <reference field="5" count="1" defaultSubtotal="1">
            <x v="6"/>
          </reference>
        </references>
      </pivotArea>
    </format>
    <format dxfId="1074">
      <pivotArea grandRow="1" outline="0" collapsedLevelsAreSubtotals="1" fieldPosition="0"/>
    </format>
    <format dxfId="1073">
      <pivotArea dataOnly="0" labelOnly="1" grandRow="1" outline="0" fieldPosition="0"/>
    </format>
    <format dxfId="1072">
      <pivotArea type="all" dataOnly="0" outline="0" fieldPosition="0"/>
    </format>
    <format dxfId="1071">
      <pivotArea dataOnly="0" labelOnly="1" outline="0" fieldPosition="0">
        <references count="1">
          <reference field="11" count="0"/>
        </references>
      </pivotArea>
    </format>
    <format dxfId="1070">
      <pivotArea dataOnly="0" labelOnly="1" outline="0" fieldPosition="0">
        <references count="1">
          <reference field="5" count="0"/>
        </references>
      </pivotArea>
    </format>
    <format dxfId="1069">
      <pivotArea dataOnly="0" labelOnly="1" outline="0" fieldPosition="0">
        <references count="1">
          <reference field="5" count="1" defaultSubtotal="1">
            <x v="3"/>
          </reference>
        </references>
      </pivotArea>
    </format>
    <format dxfId="1068">
      <pivotArea field="34" type="button" dataOnly="0" labelOnly="1" outline="0"/>
    </format>
    <format dxfId="1067">
      <pivotArea field="11" type="button" dataOnly="0" labelOnly="1" outline="0" axis="axisRow" fieldPosition="1"/>
    </format>
    <format dxfId="1066">
      <pivotArea field="12" type="button" dataOnly="0" labelOnly="1" outline="0" axis="axisRow" fieldPosition="2"/>
    </format>
    <format dxfId="1065">
      <pivotArea outline="0" collapsedLevelsAreSubtotals="1" fieldPosition="0">
        <references count="1">
          <reference field="4294967294" count="1" selected="0">
            <x v="1"/>
          </reference>
        </references>
      </pivotArea>
    </format>
    <format dxfId="1064">
      <pivotArea dataOnly="0" labelOnly="1" outline="0" fieldPosition="0">
        <references count="1">
          <reference field="4294967294" count="1">
            <x v="1"/>
          </reference>
        </references>
      </pivotArea>
    </format>
    <format dxfId="1063">
      <pivotArea outline="0" collapsedLevelsAreSubtotals="1" fieldPosition="0">
        <references count="1">
          <reference field="4294967294" count="1" selected="0">
            <x v="1"/>
          </reference>
        </references>
      </pivotArea>
    </format>
    <format dxfId="1062">
      <pivotArea dataOnly="0" labelOnly="1" outline="0" fieldPosition="0">
        <references count="1">
          <reference field="4294967294" count="1">
            <x v="1"/>
          </reference>
        </references>
      </pivotArea>
    </format>
    <format dxfId="1061">
      <pivotArea dataOnly="0" labelOnly="1" outline="0" fieldPosition="0">
        <references count="1">
          <reference field="5" count="1" defaultSubtotal="1">
            <x v="3"/>
          </reference>
        </references>
      </pivotArea>
    </format>
    <format dxfId="1060">
      <pivotArea outline="0" collapsedLevelsAreSubtotals="1" fieldPosition="0">
        <references count="1">
          <reference field="5" count="1" selected="0" defaultSubtotal="1">
            <x v="3"/>
          </reference>
        </references>
      </pivotArea>
    </format>
    <format dxfId="1059">
      <pivotArea dataOnly="0" labelOnly="1" outline="0" fieldPosition="0">
        <references count="1">
          <reference field="5" count="1" defaultSubtotal="1">
            <x v="6"/>
          </reference>
        </references>
      </pivotArea>
    </format>
    <format dxfId="1058">
      <pivotArea dataOnly="0" labelOnly="1" grandRow="1" outline="0" fieldPosition="0"/>
    </format>
    <format dxfId="1057">
      <pivotArea outline="0" collapsedLevelsAreSubtotals="1" fieldPosition="0">
        <references count="4">
          <reference field="4294967294" count="1" selected="0">
            <x v="3"/>
          </reference>
          <reference field="5" count="1" selected="0">
            <x v="6"/>
          </reference>
          <reference field="11" count="14" selected="0">
            <x v="9"/>
            <x v="13"/>
            <x v="14"/>
            <x v="21"/>
            <x v="43"/>
            <x v="52"/>
            <x v="53"/>
            <x v="54"/>
            <x v="70"/>
            <x v="71"/>
            <x v="72"/>
            <x v="74"/>
            <x v="86"/>
            <x v="92"/>
          </reference>
          <reference field="12" count="16" selected="0">
            <x v="36"/>
            <x v="38"/>
            <x v="39"/>
            <x v="42"/>
            <x v="43"/>
            <x v="45"/>
            <x v="53"/>
            <x v="83"/>
            <x v="84"/>
            <x v="87"/>
            <x v="98"/>
            <x v="99"/>
            <x v="100"/>
            <x v="101"/>
            <x v="102"/>
            <x v="103"/>
          </reference>
        </references>
      </pivotArea>
    </format>
    <format dxfId="1056">
      <pivotArea outline="0" collapsedLevelsAreSubtotals="1" fieldPosition="0">
        <references count="2">
          <reference field="4294967294" count="1" selected="0">
            <x v="3"/>
          </reference>
          <reference field="5" count="1" selected="0" defaultSubtotal="1">
            <x v="3"/>
          </reference>
        </references>
      </pivotArea>
    </format>
    <format dxfId="1055">
      <pivotArea outline="0" collapsedLevelsAreSubtotals="1" fieldPosition="0">
        <references count="2">
          <reference field="4294967294" count="1" selected="0">
            <x v="3"/>
          </reference>
          <reference field="5" count="1" selected="0" defaultSubtotal="1">
            <x v="6"/>
          </reference>
        </references>
      </pivotArea>
    </format>
    <format dxfId="1054">
      <pivotArea field="5" grandRow="1" outline="0" collapsedLevelsAreSubtotals="1" axis="axisRow" fieldPosition="0">
        <references count="1">
          <reference field="4294967294" count="1" selected="0">
            <x v="3"/>
          </reference>
        </references>
      </pivotArea>
    </format>
    <format dxfId="1053">
      <pivotArea outline="0" collapsedLevelsAreSubtotals="1" fieldPosition="0">
        <references count="4">
          <reference field="4294967294" count="1" selected="0">
            <x v="3"/>
          </reference>
          <reference field="5" count="1" selected="0">
            <x v="3"/>
          </reference>
          <reference field="11" count="4" selected="0">
            <x v="3"/>
            <x v="8"/>
            <x v="37"/>
            <x v="78"/>
          </reference>
          <reference field="12" count="5" selected="0">
            <x v="14"/>
            <x v="15"/>
            <x v="16"/>
            <x v="17"/>
            <x v="18"/>
          </reference>
        </references>
      </pivotArea>
    </format>
    <format dxfId="1052">
      <pivotArea outline="0" collapsedLevelsAreSubtotals="1" fieldPosition="0">
        <references count="3">
          <reference field="5" count="1" selected="0">
            <x v="6"/>
          </reference>
          <reference field="11" count="17" selected="0">
            <x v="9"/>
            <x v="12"/>
            <x v="13"/>
            <x v="14"/>
            <x v="21"/>
            <x v="22"/>
            <x v="43"/>
            <x v="52"/>
            <x v="53"/>
            <x v="54"/>
            <x v="70"/>
            <x v="71"/>
            <x v="72"/>
            <x v="74"/>
            <x v="86"/>
            <x v="92"/>
            <x v="93"/>
          </reference>
          <reference field="12" count="19" selected="0">
            <x v="36"/>
            <x v="38"/>
            <x v="39"/>
            <x v="42"/>
            <x v="43"/>
            <x v="45"/>
            <x v="53"/>
            <x v="82"/>
            <x v="83"/>
            <x v="84"/>
            <x v="86"/>
            <x v="87"/>
            <x v="92"/>
            <x v="98"/>
            <x v="99"/>
            <x v="100"/>
            <x v="101"/>
            <x v="102"/>
            <x v="103"/>
          </reference>
        </references>
      </pivotArea>
    </format>
    <format dxfId="1051">
      <pivotArea dataOnly="0" labelOnly="1" outline="0" fieldPosition="0">
        <references count="2">
          <reference field="5" count="1" selected="0">
            <x v="6"/>
          </reference>
          <reference field="11" count="17">
            <x v="9"/>
            <x v="12"/>
            <x v="13"/>
            <x v="14"/>
            <x v="21"/>
            <x v="22"/>
            <x v="43"/>
            <x v="52"/>
            <x v="53"/>
            <x v="54"/>
            <x v="70"/>
            <x v="71"/>
            <x v="72"/>
            <x v="74"/>
            <x v="86"/>
            <x v="92"/>
            <x v="93"/>
          </reference>
        </references>
      </pivotArea>
    </format>
    <format dxfId="1050">
      <pivotArea dataOnly="0" labelOnly="1" outline="0" fieldPosition="0">
        <references count="3">
          <reference field="5" count="1" selected="0">
            <x v="6"/>
          </reference>
          <reference field="11" count="1" selected="0">
            <x v="70"/>
          </reference>
          <reference field="12" count="1">
            <x v="98"/>
          </reference>
        </references>
      </pivotArea>
    </format>
    <format dxfId="1049">
      <pivotArea dataOnly="0" labelOnly="1" outline="0" fieldPosition="0">
        <references count="3">
          <reference field="5" count="1" selected="0">
            <x v="6"/>
          </reference>
          <reference field="11" count="1" selected="0">
            <x v="71"/>
          </reference>
          <reference field="12" count="1">
            <x v="99"/>
          </reference>
        </references>
      </pivotArea>
    </format>
    <format dxfId="1048">
      <pivotArea dataOnly="0" labelOnly="1" outline="0" fieldPosition="0">
        <references count="3">
          <reference field="5" count="1" selected="0">
            <x v="6"/>
          </reference>
          <reference field="11" count="1" selected="0">
            <x v="74"/>
          </reference>
          <reference field="12" count="1">
            <x v="53"/>
          </reference>
        </references>
      </pivotArea>
    </format>
    <format dxfId="1047">
      <pivotArea outline="0" collapsedLevelsAreSubtotals="1" fieldPosition="0">
        <references count="3">
          <reference field="5" count="1" selected="0">
            <x v="7"/>
          </reference>
          <reference field="11" count="2" selected="0">
            <x v="30"/>
            <x v="82"/>
          </reference>
          <reference field="12" count="2" selected="0">
            <x v="12"/>
            <x v="13"/>
          </reference>
        </references>
      </pivotArea>
    </format>
    <format dxfId="1046">
      <pivotArea outline="0" collapsedLevelsAreSubtotals="1" fieldPosition="0">
        <references count="1">
          <reference field="5" count="1" selected="0" defaultSubtotal="1">
            <x v="7"/>
          </reference>
        </references>
      </pivotArea>
    </format>
    <format dxfId="1045">
      <pivotArea outline="0" collapsedLevelsAreSubtotals="1" fieldPosition="0">
        <references count="3">
          <reference field="5" count="1" selected="0">
            <x v="3"/>
          </reference>
          <reference field="11" count="4" selected="0">
            <x v="3"/>
            <x v="8"/>
            <x v="37"/>
            <x v="78"/>
          </reference>
          <reference field="12" count="5" selected="0">
            <x v="14"/>
            <x v="15"/>
            <x v="16"/>
            <x v="17"/>
            <x v="18"/>
          </reference>
        </references>
      </pivotArea>
    </format>
    <format dxfId="1044">
      <pivotArea dataOnly="0" labelOnly="1" outline="0" fieldPosition="0">
        <references count="2">
          <reference field="5" count="1" selected="0">
            <x v="3"/>
          </reference>
          <reference field="11" count="4">
            <x v="3"/>
            <x v="8"/>
            <x v="37"/>
            <x v="78"/>
          </reference>
        </references>
      </pivotArea>
    </format>
    <format dxfId="1043">
      <pivotArea dataOnly="0" labelOnly="1" outline="0" fieldPosition="0">
        <references count="3">
          <reference field="5" count="1" selected="0">
            <x v="3"/>
          </reference>
          <reference field="11" count="1" selected="0">
            <x v="8"/>
          </reference>
          <reference field="12" count="1">
            <x v="14"/>
          </reference>
        </references>
      </pivotArea>
    </format>
    <format dxfId="1042">
      <pivotArea outline="0" collapsedLevelsAreSubtotals="1" fieldPosition="0">
        <references count="4">
          <reference field="4294967294" count="1" selected="0">
            <x v="3"/>
          </reference>
          <reference field="5" count="1" selected="0">
            <x v="7"/>
          </reference>
          <reference field="11" count="2" selected="0">
            <x v="30"/>
            <x v="82"/>
          </reference>
          <reference field="12" count="2" selected="0">
            <x v="12"/>
            <x v="13"/>
          </reference>
        </references>
      </pivotArea>
    </format>
    <format dxfId="1041">
      <pivotArea outline="0" collapsedLevelsAreSubtotals="1" fieldPosition="0">
        <references count="2">
          <reference field="4294967294" count="1" selected="0">
            <x v="3"/>
          </reference>
          <reference field="5" count="1" selected="0" defaultSubtotal="1">
            <x v="7"/>
          </reference>
        </references>
      </pivotArea>
    </format>
    <format dxfId="1040">
      <pivotArea type="all" dataOnly="0" outline="0" fieldPosition="0"/>
    </format>
    <format dxfId="1039">
      <pivotArea outline="0" collapsedLevelsAreSubtotals="1" fieldPosition="0"/>
    </format>
    <format dxfId="1038">
      <pivotArea dataOnly="0" labelOnly="1" outline="0" fieldPosition="0">
        <references count="2">
          <reference field="5" count="1" selected="0">
            <x v="7"/>
          </reference>
          <reference field="11" count="2">
            <x v="30"/>
            <x v="82"/>
          </reference>
        </references>
      </pivotArea>
    </format>
    <format dxfId="1037">
      <pivotArea dataOnly="0" labelOnly="1" outline="0" fieldPosition="0">
        <references count="3">
          <reference field="5" count="1" selected="0">
            <x v="7"/>
          </reference>
          <reference field="11" count="1" selected="0">
            <x v="30"/>
          </reference>
          <reference field="12" count="1">
            <x v="12"/>
          </reference>
        </references>
      </pivotArea>
    </format>
    <format dxfId="1036">
      <pivotArea type="all" dataOnly="0" outline="0" fieldPosition="0"/>
    </format>
    <format dxfId="1035">
      <pivotArea outline="0" collapsedLevelsAreSubtotals="1" fieldPosition="0"/>
    </format>
    <format dxfId="1034">
      <pivotArea dataOnly="0" labelOnly="1" outline="0" fieldPosition="0">
        <references count="2">
          <reference field="5" count="1" selected="0">
            <x v="7"/>
          </reference>
          <reference field="11" count="2">
            <x v="30"/>
            <x v="82"/>
          </reference>
        </references>
      </pivotArea>
    </format>
    <format dxfId="1033">
      <pivotArea dataOnly="0" labelOnly="1" outline="0" fieldPosition="0">
        <references count="3">
          <reference field="5" count="1" selected="0">
            <x v="7"/>
          </reference>
          <reference field="11" count="1" selected="0">
            <x v="30"/>
          </reference>
          <reference field="12" count="1">
            <x v="12"/>
          </reference>
        </references>
      </pivotArea>
    </format>
    <format dxfId="1032">
      <pivotArea outline="0" collapsedLevelsAreSubtotals="1" fieldPosition="0"/>
    </format>
    <format dxfId="1031">
      <pivotArea type="all" dataOnly="0" outline="0" fieldPosition="0"/>
    </format>
    <format dxfId="1030">
      <pivotArea outline="0" collapsedLevelsAreSubtotals="1" fieldPosition="0"/>
    </format>
    <format dxfId="1029">
      <pivotArea dataOnly="0" labelOnly="1" outline="0" fieldPosition="0">
        <references count="1">
          <reference field="5" count="0"/>
        </references>
      </pivotArea>
    </format>
    <format dxfId="1028">
      <pivotArea dataOnly="0" labelOnly="1" outline="0" fieldPosition="0">
        <references count="1">
          <reference field="5" count="0" defaultSubtotal="1"/>
        </references>
      </pivotArea>
    </format>
    <format dxfId="1027">
      <pivotArea dataOnly="0" labelOnly="1" grandRow="1" outline="0" fieldPosition="0"/>
    </format>
    <format dxfId="1026">
      <pivotArea dataOnly="0" labelOnly="1" outline="0" fieldPosition="0">
        <references count="2">
          <reference field="5" count="1" selected="0">
            <x v="3"/>
          </reference>
          <reference field="11" count="3">
            <x v="3"/>
            <x v="37"/>
            <x v="78"/>
          </reference>
        </references>
      </pivotArea>
    </format>
    <format dxfId="1025">
      <pivotArea dataOnly="0" labelOnly="1" outline="0" fieldPosition="0">
        <references count="2">
          <reference field="5" count="1" selected="0">
            <x v="6"/>
          </reference>
          <reference field="11" count="14">
            <x v="9"/>
            <x v="12"/>
            <x v="13"/>
            <x v="14"/>
            <x v="21"/>
            <x v="22"/>
            <x v="43"/>
            <x v="52"/>
            <x v="53"/>
            <x v="54"/>
            <x v="72"/>
            <x v="86"/>
            <x v="92"/>
            <x v="93"/>
          </reference>
        </references>
      </pivotArea>
    </format>
    <format dxfId="1024">
      <pivotArea dataOnly="0" labelOnly="1" outline="0" fieldPosition="0">
        <references count="2">
          <reference field="5" count="1" selected="0">
            <x v="7"/>
          </reference>
          <reference field="11" count="1">
            <x v="82"/>
          </reference>
        </references>
      </pivotArea>
    </format>
    <format dxfId="1023">
      <pivotArea dataOnly="0" labelOnly="1" outline="0" fieldPosition="0">
        <references count="3">
          <reference field="5" count="1" selected="0">
            <x v="3"/>
          </reference>
          <reference field="11" count="1" selected="0">
            <x v="3"/>
          </reference>
          <reference field="12" count="1">
            <x v="15"/>
          </reference>
        </references>
      </pivotArea>
    </format>
    <format dxfId="1022">
      <pivotArea dataOnly="0" labelOnly="1" outline="0" fieldPosition="0">
        <references count="3">
          <reference field="5" count="1" selected="0">
            <x v="3"/>
          </reference>
          <reference field="11" count="1" selected="0">
            <x v="37"/>
          </reference>
          <reference field="12" count="1">
            <x v="17"/>
          </reference>
        </references>
      </pivotArea>
    </format>
    <format dxfId="1021">
      <pivotArea dataOnly="0" labelOnly="1" outline="0" fieldPosition="0">
        <references count="3">
          <reference field="5" count="1" selected="0">
            <x v="3"/>
          </reference>
          <reference field="11" count="1" selected="0">
            <x v="78"/>
          </reference>
          <reference field="12" count="1">
            <x v="18"/>
          </reference>
        </references>
      </pivotArea>
    </format>
    <format dxfId="1020">
      <pivotArea dataOnly="0" labelOnly="1" outline="0" fieldPosition="0">
        <references count="3">
          <reference field="5" count="1" selected="0">
            <x v="6"/>
          </reference>
          <reference field="11" count="1" selected="0">
            <x v="9"/>
          </reference>
          <reference field="12" count="1">
            <x v="36"/>
          </reference>
        </references>
      </pivotArea>
    </format>
    <format dxfId="1019">
      <pivotArea dataOnly="0" labelOnly="1" outline="0" fieldPosition="0">
        <references count="3">
          <reference field="5" count="1" selected="0">
            <x v="6"/>
          </reference>
          <reference field="11" count="1" selected="0">
            <x v="12"/>
          </reference>
          <reference field="12" count="1">
            <x v="92"/>
          </reference>
        </references>
      </pivotArea>
    </format>
    <format dxfId="1018">
      <pivotArea dataOnly="0" labelOnly="1" outline="0" fieldPosition="0">
        <references count="3">
          <reference field="5" count="1" selected="0">
            <x v="6"/>
          </reference>
          <reference field="11" count="1" selected="0">
            <x v="13"/>
          </reference>
          <reference field="12" count="1">
            <x v="100"/>
          </reference>
        </references>
      </pivotArea>
    </format>
    <format dxfId="1017">
      <pivotArea dataOnly="0" labelOnly="1" outline="0" fieldPosition="0">
        <references count="3">
          <reference field="5" count="1" selected="0">
            <x v="6"/>
          </reference>
          <reference field="11" count="1" selected="0">
            <x v="14"/>
          </reference>
          <reference field="12" count="1">
            <x v="101"/>
          </reference>
        </references>
      </pivotArea>
    </format>
    <format dxfId="1016">
      <pivotArea dataOnly="0" labelOnly="1" outline="0" fieldPosition="0">
        <references count="3">
          <reference field="5" count="1" selected="0">
            <x v="6"/>
          </reference>
          <reference field="11" count="1" selected="0">
            <x v="21"/>
          </reference>
          <reference field="12" count="1">
            <x v="38"/>
          </reference>
        </references>
      </pivotArea>
    </format>
    <format dxfId="1015">
      <pivotArea dataOnly="0" labelOnly="1" outline="0" fieldPosition="0">
        <references count="3">
          <reference field="5" count="1" selected="0">
            <x v="6"/>
          </reference>
          <reference field="11" count="1" selected="0">
            <x v="22"/>
          </reference>
          <reference field="12" count="1">
            <x v="86"/>
          </reference>
        </references>
      </pivotArea>
    </format>
    <format dxfId="1014">
      <pivotArea dataOnly="0" labelOnly="1" outline="0" fieldPosition="0">
        <references count="3">
          <reference field="5" count="1" selected="0">
            <x v="6"/>
          </reference>
          <reference field="11" count="1" selected="0">
            <x v="43"/>
          </reference>
          <reference field="12" count="1">
            <x v="83"/>
          </reference>
        </references>
      </pivotArea>
    </format>
    <format dxfId="1013">
      <pivotArea dataOnly="0" labelOnly="1" outline="0" fieldPosition="0">
        <references count="3">
          <reference field="5" count="1" selected="0">
            <x v="6"/>
          </reference>
          <reference field="11" count="1" selected="0">
            <x v="52"/>
          </reference>
          <reference field="12" count="1">
            <x v="87"/>
          </reference>
        </references>
      </pivotArea>
    </format>
    <format dxfId="1012">
      <pivotArea dataOnly="0" labelOnly="1" outline="0" fieldPosition="0">
        <references count="3">
          <reference field="5" count="1" selected="0">
            <x v="6"/>
          </reference>
          <reference field="11" count="1" selected="0">
            <x v="53"/>
          </reference>
          <reference field="12" count="1">
            <x v="102"/>
          </reference>
        </references>
      </pivotArea>
    </format>
    <format dxfId="1011">
      <pivotArea dataOnly="0" labelOnly="1" outline="0" fieldPosition="0">
        <references count="3">
          <reference field="5" count="1" selected="0">
            <x v="6"/>
          </reference>
          <reference field="11" count="1" selected="0">
            <x v="54"/>
          </reference>
          <reference field="12" count="1">
            <x v="103"/>
          </reference>
        </references>
      </pivotArea>
    </format>
    <format dxfId="1010">
      <pivotArea dataOnly="0" labelOnly="1" outline="0" fieldPosition="0">
        <references count="3">
          <reference field="5" count="1" selected="0">
            <x v="6"/>
          </reference>
          <reference field="11" count="1" selected="0">
            <x v="72"/>
          </reference>
          <reference field="12" count="1">
            <x v="42"/>
          </reference>
        </references>
      </pivotArea>
    </format>
    <format dxfId="1009">
      <pivotArea dataOnly="0" labelOnly="1" outline="0" fieldPosition="0">
        <references count="3">
          <reference field="5" count="1" selected="0">
            <x v="6"/>
          </reference>
          <reference field="11" count="1" selected="0">
            <x v="86"/>
          </reference>
          <reference field="12" count="1">
            <x v="43"/>
          </reference>
        </references>
      </pivotArea>
    </format>
    <format dxfId="1008">
      <pivotArea dataOnly="0" labelOnly="1" outline="0" fieldPosition="0">
        <references count="3">
          <reference field="5" count="1" selected="0">
            <x v="6"/>
          </reference>
          <reference field="11" count="1" selected="0">
            <x v="92"/>
          </reference>
          <reference field="12" count="1">
            <x v="45"/>
          </reference>
        </references>
      </pivotArea>
    </format>
    <format dxfId="1007">
      <pivotArea dataOnly="0" labelOnly="1" outline="0" fieldPosition="0">
        <references count="3">
          <reference field="5" count="1" selected="0">
            <x v="6"/>
          </reference>
          <reference field="11" count="1" selected="0">
            <x v="93"/>
          </reference>
          <reference field="12" count="1">
            <x v="82"/>
          </reference>
        </references>
      </pivotArea>
    </format>
    <format dxfId="1006">
      <pivotArea dataOnly="0" labelOnly="1" outline="0" fieldPosition="0">
        <references count="3">
          <reference field="5" count="1" selected="0">
            <x v="7"/>
          </reference>
          <reference field="11" count="1" selected="0">
            <x v="82"/>
          </reference>
          <reference field="12" count="1">
            <x v="13"/>
          </reference>
        </references>
      </pivotArea>
    </format>
    <format dxfId="100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7">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3">
    <i>
      <x/>
    </i>
    <i r="1">
      <x v="49"/>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72">
      <pivotArea field="0" type="button" dataOnly="0" labelOnly="1" outline="0" axis="axisPage" fieldPosition="0"/>
    </format>
    <format dxfId="971">
      <pivotArea dataOnly="0" labelOnly="1" outline="0" fieldPosition="0">
        <references count="1">
          <reference field="0" count="0"/>
        </references>
      </pivotArea>
    </format>
    <format dxfId="970">
      <pivotArea field="36" type="button" dataOnly="0" labelOnly="1" outline="0" axis="axisPage" fieldPosition="1"/>
    </format>
    <format dxfId="969">
      <pivotArea dataOnly="0" labelOnly="1" outline="0" fieldPosition="0">
        <references count="1">
          <reference field="36" count="0"/>
        </references>
      </pivotArea>
    </format>
    <format dxfId="96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73">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76">
      <pivotArea type="all" dataOnly="0" outline="0" fieldPosition="0"/>
    </format>
    <format dxfId="975">
      <pivotArea field="0" type="button" dataOnly="0" labelOnly="1" outline="0" axis="axisPage" fieldPosition="0"/>
    </format>
    <format dxfId="974">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983">
      <pivotArea type="all" dataOnly="0" outline="0" fieldPosition="0"/>
    </format>
    <format dxfId="982">
      <pivotArea field="1" type="button" dataOnly="0" labelOnly="1" outline="0" axis="axisPage" fieldPosition="0"/>
    </format>
    <format dxfId="981">
      <pivotArea dataOnly="0" labelOnly="1" outline="0" fieldPosition="0">
        <references count="1">
          <reference field="1" count="1">
            <x v="0"/>
          </reference>
        </references>
      </pivotArea>
    </format>
    <format dxfId="980">
      <pivotArea field="5" type="button" dataOnly="0" labelOnly="1" outline="0" axis="axisRow" fieldPosition="0"/>
    </format>
    <format dxfId="979">
      <pivotArea dataOnly="0" labelOnly="1" outline="0" fieldPosition="0">
        <references count="1">
          <reference field="4294967294" count="1">
            <x v="0"/>
          </reference>
        </references>
      </pivotArea>
    </format>
    <format dxfId="978">
      <pivotArea grandRow="1" outline="0" collapsedLevelsAreSubtotals="1" fieldPosition="0"/>
    </format>
    <format dxfId="97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89">
      <pivotArea type="all" dataOnly="0" outline="0" fieldPosition="0"/>
    </format>
    <format dxfId="988">
      <pivotArea field="1" type="button" dataOnly="0" labelOnly="1" outline="0" axis="axisPage" fieldPosition="0"/>
    </format>
    <format dxfId="987">
      <pivotArea dataOnly="0" labelOnly="1" outline="0" fieldPosition="0">
        <references count="1">
          <reference field="1" count="0"/>
        </references>
      </pivotArea>
    </format>
    <format dxfId="986">
      <pivotArea type="all" dataOnly="0" outline="0" fieldPosition="0"/>
    </format>
    <format dxfId="985">
      <pivotArea field="1" type="button" dataOnly="0" labelOnly="1" outline="0" axis="axisPage" fieldPosition="0"/>
    </format>
    <format dxfId="984">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32" dataDxfId="1231">
  <autoFilter ref="J1:J2"/>
  <tableColumns count="1">
    <tableColumn id="1" name="State" dataDxfId="1230"/>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16"/>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2" tableType="xml" totalsRowShown="0" headerRowDxfId="1211" dataDxfId="1209" headerRowBorderDxfId="1210" tableBorderDxfId="1208" headerRowCellStyle="Normal_Sheet11">
  <autoFilter ref="A4:AJ132">
    <filterColumn colId="0">
      <filters blank="1">
        <filter val="Open"/>
        <filter val="Relocated"/>
        <filter val="Returned"/>
      </filters>
    </filterColumn>
  </autoFilter>
  <tableColumns count="36">
    <tableColumn id="24" uniqueName="Status" name="Status" dataDxfId="1207">
      <xmlColumnPr mapId="8" xpath="/dataroot/Data_CCCM_t/Status" xmlDataType="string"/>
    </tableColumn>
    <tableColumn id="2" uniqueName="State" name="State" dataDxfId="1206">
      <xmlColumnPr mapId="8" xpath="/dataroot/Data_CCCM_t/State" xmlDataType="string"/>
    </tableColumn>
    <tableColumn id="12" uniqueName="State_Pcode" name="State_Pcode" dataDxfId="1205">
      <xmlColumnPr mapId="8" xpath="/dataroot/Data_CCCM_t/State_Pcode" xmlDataType="string"/>
    </tableColumn>
    <tableColumn id="23" uniqueName="District" name="District" dataDxfId="1204">
      <xmlColumnPr mapId="8" xpath="/dataroot/Data_CCCM_t/District" xmlDataType="string"/>
    </tableColumn>
    <tableColumn id="19" uniqueName="District_Pcode" name="District_Pcode" dataDxfId="1203">
      <xmlColumnPr mapId="8" xpath="/dataroot/Data_CCCM_t/District_Pcode" xmlDataType="string"/>
    </tableColumn>
    <tableColumn id="3" uniqueName="TOWNSHIP_NAME" name="TOWNSHIP_NAME" dataDxfId="1202">
      <xmlColumnPr mapId="8" xpath="/dataroot/Data_CCCM_t/TOWNSHIP_NAME" xmlDataType="string"/>
    </tableColumn>
    <tableColumn id="13" uniqueName="Township_Pcode" name="Township_Pcode" dataDxfId="1201">
      <xmlColumnPr mapId="8" xpath="/dataroot/Data_CCCM_t/Township_Pcode" xmlDataType="string"/>
    </tableColumn>
    <tableColumn id="14" uniqueName="VillageTracKTown_Name" name="VillageTracKTown_Name" dataDxfId="1200">
      <xmlColumnPr mapId="8" xpath="/dataroot/Data_CCCM_t/VillageTracKTown_Name" xmlDataType="string"/>
    </tableColumn>
    <tableColumn id="15" uniqueName="VillageTrackTown_Pcode" name="VillageTrackTown_Pcode" dataDxfId="1199">
      <xmlColumnPr mapId="8" xpath="/dataroot/Data_CCCM_t/VillageTrackTown_Pcode" xmlDataType="string"/>
    </tableColumn>
    <tableColumn id="16" uniqueName="VillageWard_Name" name="VillageWard_Name" dataDxfId="1198">
      <xmlColumnPr mapId="8" xpath="/dataroot/Data_CCCM_t/VillageWard_Name" xmlDataType="string"/>
    </tableColumn>
    <tableColumn id="17" uniqueName="VillageWard_Pcode" name="VillageWard_Pcode" dataDxfId="1197">
      <xmlColumnPr mapId="8" xpath="/dataroot/Data_CCCM_t/VillageWard_Pcode" xmlDataType="string"/>
    </tableColumn>
    <tableColumn id="4" uniqueName="Camp Name" name="Camp Name" dataDxfId="1196">
      <xmlColumnPr mapId="8" xpath="/dataroot/Data_CCCM_t/Camp_x005f_x0020_Name" xmlDataType="string"/>
    </tableColumn>
    <tableColumn id="5" uniqueName="P_Code" name="P_Code" dataDxfId="1195">
      <xmlColumnPr mapId="8" xpath="/dataroot/Data_CCCM_t/P_Code" xmlDataType="string"/>
    </tableColumn>
    <tableColumn id="6" uniqueName="Longitude" name="Longitude" dataDxfId="1194">
      <xmlColumnPr mapId="8" xpath="/dataroot/Data_CCCM_t/Longitude" xmlDataType="double"/>
    </tableColumn>
    <tableColumn id="7" uniqueName="Latitude" name="Latitude" dataDxfId="1193">
      <xmlColumnPr mapId="8" xpath="/dataroot/Data_CCCM_t/Latitude" xmlDataType="double"/>
    </tableColumn>
    <tableColumn id="1" uniqueName="Altitude" name="Altitude" dataDxfId="1192">
      <xmlColumnPr mapId="8" xpath="/dataroot/Data_CCCM_t/Altitude" xmlDataType="string"/>
    </tableColumn>
    <tableColumn id="8" uniqueName="HH" name="HH" dataDxfId="1191" dataCellStyle="Percent">
      <xmlColumnPr mapId="8" xpath="/dataroot/Data_CCCM_t/HH" xmlDataType="double"/>
    </tableColumn>
    <tableColumn id="9" uniqueName="Total" name="Total" dataDxfId="1190" dataCellStyle="Comma">
      <xmlColumnPr mapId="8" xpath="/dataroot/Data_CCCM_t/Total" xmlDataType="double"/>
    </tableColumn>
    <tableColumn id="11" uniqueName="Avg" name="Avg" dataDxfId="1189" dataCellStyle="Percent">
      <xmlColumnPr mapId="8" xpath="/dataroot/Data_CCCM_t/Avg" xmlDataType="double"/>
    </tableColumn>
    <tableColumn id="29" uniqueName="Accessibility" name="Accessibility" dataDxfId="1188">
      <xmlColumnPr mapId="8" xpath="/dataroot/Data_CCCM_t/Accessibility" xmlDataType="string"/>
    </tableColumn>
    <tableColumn id="33" uniqueName="Affected population" name="Affected population" dataDxfId="1187">
      <xmlColumnPr mapId="8" xpath="/dataroot/Data_CCCM_t/Affected_x005f_x0020_population" xmlDataType="string"/>
    </tableColumn>
    <tableColumn id="26" uniqueName="Type of Accomodation" name="Type of Accomodation" dataDxfId="1186">
      <xmlColumnPr mapId="8" xpath="/dataroot/Data_CCCM_t/Type_x005f_x0020_of_x005f_x0020_Accomodation" xmlDataType="string"/>
    </tableColumn>
    <tableColumn id="37" uniqueName="Isolated Location" name="Isolated Location" dataDxfId="1185">
      <xmlColumnPr mapId="8" xpath="/dataroot/Data_CCCM_t/Isolated_x005f_x0020_Location" xmlDataType="string"/>
    </tableColumn>
    <tableColumn id="30" uniqueName="Opening Date" name="Opening Date" dataDxfId="1184">
      <xmlColumnPr mapId="8" xpath="/dataroot/Data_CCCM_t/Opening_x005f_x0020_Date" xmlDataType="string"/>
    </tableColumn>
    <tableColumn id="34" uniqueName="Ethnicity" name="Ethnicity" dataDxfId="1183">
      <xmlColumnPr mapId="8" xpath="/dataroot/Data_CCCM_t/Ethnicity" xmlDataType="string"/>
    </tableColumn>
    <tableColumn id="35" uniqueName="Religion" name="Religion" dataDxfId="1182">
      <xmlColumnPr mapId="8" xpath="/dataroot/Data_CCCM_t/Religion" xmlDataType="string"/>
    </tableColumn>
    <tableColumn id="36" uniqueName="Type of Population" name="Type of Population" dataDxfId="1181">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80"/>
    <tableColumn id="32" uniqueName="CM/FP" name="CM/FP" dataDxfId="1179">
      <xmlColumnPr mapId="8" xpath="/dataroot/Data_CCCM_t/CM_x005f_x002F_FP" xmlDataType="string"/>
    </tableColumn>
    <tableColumn id="22" uniqueName="Responsible Agency" name="Responsible Agency" dataDxfId="1178">
      <xmlColumnPr mapId="8" xpath="/dataroot/Data_CCCM_t/Responsible_x005f_x0020_Agency" xmlDataType="string"/>
    </tableColumn>
    <tableColumn id="18" uniqueName="Source" name="Source" dataDxfId="1177">
      <xmlColumnPr mapId="8" xpath="/dataroot/Data_CCCM_t/Source" xmlDataType="string"/>
    </tableColumn>
    <tableColumn id="20" uniqueName="Method" name="Method" dataDxfId="1176">
      <xmlColumnPr mapId="8" xpath="/dataroot/Data_CCCM_t/Method" xmlDataType="string"/>
    </tableColumn>
    <tableColumn id="31" uniqueName="Update Date" name="Update Date" dataDxfId="1175">
      <xmlColumnPr mapId="8" xpath="/dataroot/Data_CCCM_t/Update_x005f_x0020_Date" xmlDataType="dateTime"/>
    </tableColumn>
    <tableColumn id="25" uniqueName="Comment" name="Comment" dataDxfId="1174">
      <xmlColumnPr mapId="8" xpath="/dataroot/Data_CCCM_t/Comment" xmlDataType="string"/>
    </tableColumn>
    <tableColumn id="10" uniqueName="Contact" name="Contact" dataDxfId="1173">
      <calculatedColumnFormula>IFERROR(VLOOKUP(Camp_List[[#This Row],[Responsible Agency]],Organization_t[],3,0),"")</calculatedColumnFormula>
      <xmlColumnPr mapId="8" xpath="/dataroot/Data_CCCM_t/Contact" xmlDataType="double"/>
    </tableColumn>
    <tableColumn id="21" uniqueName="shelter_coverage" name="shelter_coverage" dataDxfId="1172"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36" dataDxfId="1134" headerRowBorderDxfId="1135" tableBorderDxfId="1133" totalsRowBorderDxfId="1132">
  <tableColumns count="5">
    <tableColumn id="1" name="Township" dataDxfId="1131"/>
    <tableColumn id="2" name="# of HH" dataDxfId="1130" dataCellStyle="Comma"/>
    <tableColumn id="3" name="# of IDPs" dataDxfId="1129" dataCellStyle="Comma"/>
    <tableColumn id="4" name="# of Planned Camp" dataDxfId="1128" dataCellStyle="Comma">
      <calculatedColumnFormula>AO21</calculatedColumnFormula>
    </tableColumn>
    <tableColumn id="5" name="# of Other Accomodation" dataDxfId="1127">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21" dataDxfId="1119" headerRowBorderDxfId="1120" tableBorderDxfId="1118" totalsRowBorderDxfId="1117" dataCellStyle="Percent">
  <autoFilter ref="T2:AG13"/>
  <tableColumns count="14">
    <tableColumn id="1" name="Pcode" dataDxfId="1116" totalsRowDxfId="1115"/>
    <tableColumn id="2" name="Township" dataDxfId="1114" totalsRowDxfId="1113">
      <calculatedColumnFormula>'CCCM Dashboard'!H17</calculatedColumnFormula>
    </tableColumn>
    <tableColumn id="3" name="Long." dataDxfId="1112" totalsRowDxfId="1111"/>
    <tableColumn id="4" name="Lat." dataDxfId="1110" totalsRowDxfId="1109"/>
    <tableColumn id="5" name="HS" dataDxfId="1108" totalsRowDxfId="1107">
      <calculatedColumnFormula>'CCCM Dashboard'!I17</calculatedColumnFormula>
    </tableColumn>
    <tableColumn id="6" name="Pop" dataDxfId="1106" totalsRowDxfId="1105" dataCellStyle="Comma">
      <calculatedColumnFormula>'CCCM Dashboard'!J17</calculatedColumnFormula>
    </tableColumn>
    <tableColumn id="7" name="N_cps" dataDxfId="1104" totalsRowDxfId="1103">
      <calculatedColumnFormula>'CCCM Dashboard'!K17</calculatedColumnFormula>
    </tableColumn>
    <tableColumn id="8" name="Coverage" dataDxfId="1102" totalsRowDxfId="1101" dataCellStyle="Percent"/>
    <tableColumn id="9" name="Hygiene" dataDxfId="1100" totalsRowDxfId="1099" dataCellStyle="Percent"/>
    <tableColumn id="10" name="Core" dataDxfId="1098" totalsRowDxfId="1097" dataCellStyle="Percent"/>
    <tableColumn id="11" name="Sanitary" dataDxfId="1096" totalsRowDxfId="1095" dataCellStyle="Percent"/>
    <tableColumn id="12" name="Y" dataDxfId="1094" totalsRowDxfId="1093">
      <calculatedColumnFormula>$S$3-ROUND((W3-$S$1)*$S$5,0)</calculatedColumnFormula>
    </tableColumn>
    <tableColumn id="13" name="X" dataDxfId="1092" totalsRowDxfId="1091">
      <calculatedColumnFormula>ROUND((V3-$S$2)*$S$5,0)+$S$4</calculatedColumnFormula>
    </tableColumn>
    <tableColumn id="14" name="Column1" dataDxfId="1090" totalsRowDxfId="108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31" tableType="xml" totalsRowShown="0" headerRowDxfId="880" dataDxfId="878" headerRowBorderDxfId="879" tableBorderDxfId="877" totalsRowBorderDxfId="876">
  <autoFilter ref="A3:J231"/>
  <sortState ref="A131:J144">
    <sortCondition ref="C1:C275"/>
  </sortState>
  <tableColumns count="10">
    <tableColumn id="1" uniqueName="State" name="State" dataDxfId="875">
      <xmlColumnPr mapId="2" xpath="/dataroot/Data_Demography_t/State" xmlDataType="string"/>
    </tableColumn>
    <tableColumn id="2" uniqueName="Township" name="Township" dataDxfId="874">
      <xmlColumnPr mapId="2" xpath="/dataroot/Data_Demography_t/Township" xmlDataType="string"/>
    </tableColumn>
    <tableColumn id="3" uniqueName="Camp" name="Camp" dataDxfId="873">
      <xmlColumnPr mapId="2" xpath="/dataroot/Data_Demography_t/Camp" xmlDataType="string"/>
    </tableColumn>
    <tableColumn id="9" uniqueName="Pcode" name="Pcode" dataDxfId="872">
      <calculatedColumnFormula>IFERROR(OFFSET(Camp_List[P_Code],MATCH(Data_Demography_t[[#This Row],[Camp]],Camp_List[Camp Name],0)-1,0,1,1),"")</calculatedColumnFormula>
      <xmlColumnPr mapId="2" xpath="/dataroot/Data_Demography_t/Pcode" xmlDataType="string"/>
    </tableColumn>
    <tableColumn id="4" uniqueName="Age_Cat" name="Age_Cat" dataDxfId="871">
      <xmlColumnPr mapId="2" xpath="/dataroot/Data_Demography_t/Age_Cat" xmlDataType="string"/>
    </tableColumn>
    <tableColumn id="6" uniqueName="Sex" name="Sex" dataDxfId="870">
      <xmlColumnPr mapId="2" xpath="/dataroot/Data_Demography_t/Sex" xmlDataType="string"/>
    </tableColumn>
    <tableColumn id="5" uniqueName="Total" name="Total" dataDxfId="869" dataCellStyle="Comma">
      <xmlColumnPr mapId="2" xpath="/dataroot/Data_Demography_t/Total" xmlDataType="double"/>
    </tableColumn>
    <tableColumn id="7" uniqueName="Total2" name="Total2" dataDxfId="868">
      <calculatedColumnFormula>IF(F4="M",-G4,G4)</calculatedColumnFormula>
      <xmlColumnPr mapId="2" xpath="/dataroot/Data_Demography_t/Total2" xmlDataType="double"/>
    </tableColumn>
    <tableColumn id="8" uniqueName="Source" name="Source" dataDxfId="867">
      <xmlColumnPr mapId="2" xpath="/dataroot/Data_Demography_t/Source" xmlDataType="string"/>
    </tableColumn>
    <tableColumn id="10" uniqueName="Updated Date" name="Updated Date" dataDxfId="866">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72" tableType="xml" totalsRowShown="0" headerRowDxfId="851" dataDxfId="849" headerRowBorderDxfId="850" tableBorderDxfId="848" totalsRowBorderDxfId="847">
  <autoFilter ref="A1:J172"/>
  <sortState ref="A2:H183">
    <sortCondition descending="1" ref="C1:C183"/>
  </sortState>
  <tableColumns count="10">
    <tableColumn id="1" uniqueName="State" name="State" dataDxfId="846">
      <xmlColumnPr mapId="6" xpath="/dataroot/Data_Vulnerability_t/State" xmlDataType="string"/>
    </tableColumn>
    <tableColumn id="2" uniqueName="Township" name="Township" dataDxfId="845">
      <xmlColumnPr mapId="6" xpath="/dataroot/Data_Vulnerability_t/Township" xmlDataType="string"/>
    </tableColumn>
    <tableColumn id="3" uniqueName="Camp Name" name="Camp Name" dataDxfId="844">
      <xmlColumnPr mapId="6" xpath="/dataroot/Data_Vulnerability_t/Camp_x005f_x0020_Name" xmlDataType="string"/>
    </tableColumn>
    <tableColumn id="7" uniqueName="Pcode" name="Pcode" dataDxfId="843">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42">
      <xmlColumnPr mapId="6" xpath="/dataroot/Data_Vulnerability_t/Vulnerability" xmlDataType="string"/>
    </tableColumn>
    <tableColumn id="9" uniqueName="9" name="Male" dataDxfId="841"/>
    <tableColumn id="10" uniqueName="10" name="Female" dataDxfId="840"/>
    <tableColumn id="5" uniqueName="Total" name="Total" dataDxfId="839">
      <xmlColumnPr mapId="6" xpath="/dataroot/Data_Vulnerability_t/Total" xmlDataType="double"/>
    </tableColumn>
    <tableColumn id="6" uniqueName="Source" name="Source" dataDxfId="838">
      <xmlColumnPr mapId="6" xpath="/dataroot/Data_Vulnerability_t/Source" xmlDataType="string"/>
    </tableColumn>
    <tableColumn id="8" uniqueName="Updated date" name="Updated date" dataDxfId="837">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622" headerRowBorderDxfId="621" tableBorderDxfId="620" totalsRowBorderDxfId="619">
  <autoFilter ref="A4:AA94"/>
  <sortState ref="A5:AA94">
    <sortCondition descending="1" ref="A4:A94"/>
  </sortState>
  <tableColumns count="27">
    <tableColumn id="1" uniqueName="DateUpdated" name="DateUpdated" totalsRowLabel="Total" dataDxfId="618" totalsRowDxfId="617">
      <xmlColumnPr mapId="5" xpath="/dataroot/Data_Shelter_t/DateUpdated" xmlDataType="dateTime"/>
    </tableColumn>
    <tableColumn id="2" uniqueName="Organization" name="Organization" dataDxfId="616" totalsRowDxfId="615">
      <xmlColumnPr mapId="5" xpath="/dataroot/Data_Shelter_t/Organization" xmlDataType="string"/>
    </tableColumn>
    <tableColumn id="3" uniqueName="Implementing Partner" name="Implementing Partner" dataDxfId="614" totalsRowDxfId="613">
      <xmlColumnPr mapId="5" xpath="/dataroot/Data_Shelter_t/Implementing_x005f_x0020_Partner" xmlDataType="string"/>
    </tableColumn>
    <tableColumn id="4" uniqueName="State" name="State" dataDxfId="612" totalsRowDxfId="611">
      <xmlColumnPr mapId="5" xpath="/dataroot/Data_Shelter_t/State" xmlDataType="string"/>
    </tableColumn>
    <tableColumn id="5" uniqueName="Township" name="Township" dataDxfId="610" totalsRowDxfId="609">
      <xmlColumnPr mapId="5" xpath="/dataroot/Data_Shelter_t/Township" xmlDataType="string"/>
    </tableColumn>
    <tableColumn id="6" uniqueName="Camp Name" name="Camp Name/ Relocation Sites" dataDxfId="608" totalsRowDxfId="607">
      <xmlColumnPr mapId="5" xpath="/dataroot/Data_Shelter_t/Camp_x005f_x0020_Name" xmlDataType="string"/>
    </tableColumn>
    <tableColumn id="7" uniqueName="HH per Shelter" name="HH per Shelter" dataDxfId="606" totalsRowDxfId="605">
      <xmlColumnPr mapId="5" xpath="/dataroot/Data_Shelter_t/HH_x005f_x0020_per_x005f_x0020_Shelter" xmlDataType="double"/>
    </tableColumn>
    <tableColumn id="8" uniqueName="#ofFamilyTentPlanned(Target)" name="#ofFamilyTentPlanned(Target)" totalsRowFunction="sum" dataDxfId="604" totalsRowDxfId="603">
      <xmlColumnPr mapId="5" xpath="/dataroot/Data_Shelter_t/_x005f_x0023_ofFamilyTentPlanned_x005f_x0028_Target_x005f_x0029_" xmlDataType="string"/>
    </tableColumn>
    <tableColumn id="9" uniqueName="#ofFamilyTentDistributed" name="#ofFamilyTentDistributed" totalsRowFunction="sum" dataDxfId="602" totalsRowDxfId="601">
      <xmlColumnPr mapId="5" xpath="/dataroot/Data_Shelter_t/_x005f_x0023_ofFamilyTentDistributed" xmlDataType="string"/>
    </tableColumn>
    <tableColumn id="10" uniqueName="# of Temporary Shelter Planned (Target)" name="# of Temporary Shelter Planned (Target)" totalsRowFunction="sum" dataDxfId="600" totalsRowDxfId="599">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8" totalsRowDxfId="597">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96" totalsRowDxfId="595">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94" totalsRowDxfId="593">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92" totalsRowDxfId="591">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90" totalsRowDxfId="589">
      <xmlColumnPr mapId="5" xpath="/dataroot/Data_Shelter_t/_x005f_x0023_ofPermanentHouseUnderConstruction" xmlDataType="string"/>
    </tableColumn>
    <tableColumn id="26" uniqueName="26" name="# Informal /Makeshift Shelter Built" dataDxfId="588" totalsRowDxfId="587"/>
    <tableColumn id="23" uniqueName="23" name="# of Individual House Planned (Target)" totalsRowFunction="sum" dataDxfId="586" totalsRowDxfId="585"/>
    <tableColumn id="22" uniqueName="22" name="# of Individual House Built" totalsRowFunction="sum" dataDxfId="584" totalsRowDxfId="583"/>
    <tableColumn id="16" uniqueName="HH Covered" name="#of Individual House Under Construction" totalsRowFunction="sum" dataDxfId="582" totalsRowDxfId="581">
      <xmlColumnPr mapId="5" xpath="/dataroot/Data_Shelter_t/HH_x005f_x0020_Covered" xmlDataType="double"/>
    </tableColumn>
    <tableColumn id="17" uniqueName="17" name="HH Covered" totalsRowFunction="sum" dataDxfId="580" totalsRowDxfId="579"/>
    <tableColumn id="18" uniqueName="Pcode" name="HH Covered 2" totalsRowFunction="sum" dataDxfId="578" totalsRowDxfId="577">
      <calculatedColumnFormula>IF(Data_Shelter_t[[#This Row],[Status]]="Open",Data_Shelter_t[[#This Row],[HH Covered]],0)</calculatedColumnFormula>
      <xmlColumnPr mapId="5" xpath="/dataroot/Data_Shelter_t/Pcode" xmlDataType="string"/>
    </tableColumn>
    <tableColumn id="27" uniqueName="27" name="Pcode" dataDxfId="576" totalsRowDxfId="575"/>
    <tableColumn id="19" uniqueName="Status" name="Status" dataDxfId="574" totalsRowDxfId="573"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72" totalsRowDxfId="571">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570" totalsRowDxfId="569">
      <calculatedColumnFormula>Data_Shelter_t[[#This Row],['# of Permanent House Planned (Target)]]+Data_Shelter_t[[#This Row],['# of Individual House Planned (Target)]]</calculatedColumnFormula>
    </tableColumn>
    <tableColumn id="25" uniqueName="25" name="Built" totalsRowFunction="sum" dataDxfId="568" totalsRowDxfId="567">
      <calculatedColumnFormula>Data_Shelter_t[[#This Row],['# of Permanent House Built]]+Data_Shelter_t[[#This Row],['# of Individual House Built]]</calculatedColumnFormula>
    </tableColumn>
    <tableColumn id="21" uniqueName="21" name="Remark" dataDxfId="566" totalsRowDxfId="565"/>
  </tableColumns>
  <tableStyleInfo name="TableStyleMedium2" showFirstColumn="0" showLastColumn="0" showRowStripes="1" showColumnStripes="0"/>
</table>
</file>

<file path=xl/tables/table18.xml><?xml version="1.0" encoding="utf-8"?>
<table xmlns="http://schemas.openxmlformats.org/spreadsheetml/2006/main" id="9" name="Table9" displayName="Table9" ref="A3:F41" totalsRowShown="0" headerRowDxfId="564" dataDxfId="563" tableBorderDxfId="562">
  <autoFilter ref="A3:F41"/>
  <tableColumns count="6">
    <tableColumn id="1" name="Year" dataDxfId="561"/>
    <tableColumn id="2" name="Township" dataDxfId="560"/>
    <tableColumn id="3" name="Camp Name" dataDxfId="559"/>
    <tableColumn id="4" name="Agency" dataDxfId="558"/>
    <tableColumn id="5" name="Shelters"/>
    <tableColumn id="6" name="Rooms"/>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29" dataDxfId="527" headerRowBorderDxfId="528" tableBorderDxfId="526">
  <tableColumns count="7">
    <tableColumn id="1" name="Township" dataDxfId="525"/>
    <tableColumn id="2" name="# of HH" dataDxfId="524" dataCellStyle="Comma"/>
    <tableColumn id="3" name="# of Ind." dataDxfId="523" dataCellStyle="Comma"/>
    <tableColumn id="4" name="# of Camp" dataDxfId="522" dataCellStyle="Comma"/>
    <tableColumn id="5" name="# Ind. Covered" dataDxfId="521" dataCellStyle="Comma">
      <calculatedColumnFormula>'Shelter Progress'!#REF!</calculatedColumnFormula>
    </tableColumn>
    <tableColumn id="6" name="# Ind. Not Covered" dataDxfId="520" dataCellStyle="Comma">
      <calculatedColumnFormula>'Shelter Progress'!L6</calculatedColumnFormula>
    </tableColumn>
    <tableColumn id="7" name="% Coverage" dataDxfId="519"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29" dataDxfId="1228">
  <autoFilter ref="L1:L11"/>
  <tableColumns count="1">
    <tableColumn id="1" name="Rakhine" dataDxfId="1227"/>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15" dataDxfId="513" headerRowBorderDxfId="514">
  <autoFilter ref="A12:J45"/>
  <sortState ref="A13:J45">
    <sortCondition ref="D22"/>
  </sortState>
  <tableColumns count="10">
    <tableColumn id="1" uniqueName="Lot" name="Lot" dataDxfId="512">
      <xmlColumnPr mapId="3" xpath="/dataroot/Data_Infrastructure_t/Lot" xmlDataType="string"/>
    </tableColumn>
    <tableColumn id="8" uniqueName="State" name="State" dataDxfId="511">
      <xmlColumnPr mapId="3" xpath="/dataroot/Data_Infrastructure_t/State" xmlDataType="string"/>
    </tableColumn>
    <tableColumn id="9" uniqueName="Township" name="Township" dataDxfId="510">
      <xmlColumnPr mapId="3" xpath="/dataroot/Data_Infrastructure_t/Township" xmlDataType="string"/>
    </tableColumn>
    <tableColumn id="2" uniqueName="Camp" name="Camp" dataDxfId="509">
      <xmlColumnPr mapId="3" xpath="/dataroot/Data_Infrastructure_t/Camp" xmlDataType="string"/>
    </tableColumn>
    <tableColumn id="10" uniqueName="Pcode" name="Pcode" dataDxfId="508">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7">
      <xmlColumnPr mapId="3" xpath="/dataroot/Data_Infrastructure_t/Infrastructure" xmlDataType="string"/>
    </tableColumn>
    <tableColumn id="7" uniqueName="Type" name="Type" dataDxfId="506">
      <xmlColumnPr mapId="3" xpath="/dataroot/Data_Infrastructure_t/Type" xmlDataType="string"/>
    </tableColumn>
    <tableColumn id="4" uniqueName="Total" name="Total" dataDxfId="505" dataCellStyle="Comma 2">
      <xmlColumnPr mapId="3" xpath="/dataroot/Data_Infrastructure_t/Total" xmlDataType="double"/>
    </tableColumn>
    <tableColumn id="5" uniqueName="Status" name="Status" dataDxfId="504" dataCellStyle="Comma 2">
      <xmlColumnPr mapId="3" xpath="/dataroot/Data_Infrastructure_t/Status" xmlDataType="string"/>
    </tableColumn>
    <tableColumn id="6" uniqueName="Comment" name="Comment" dataDxfId="503">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76" tableType="xml" totalsRowCount="1" headerRowDxfId="500" headerRowBorderDxfId="499" tableBorderDxfId="498">
  <tableColumns count="48">
    <tableColumn id="29" uniqueName="Months" name="Months" dataDxfId="497">
      <calculatedColumnFormula>IF(ISBLANK(C6),"",(Report_Date-C6)/30)</calculatedColumnFormula>
      <xmlColumnPr mapId="4" xpath="/dataroot/Data_NFI_T/Months" xmlDataType="double"/>
    </tableColumn>
    <tableColumn id="31" uniqueName="year" name="year" dataDxfId="496" totalsRowDxfId="495">
      <calculatedColumnFormula>YEAR(Data_NFI_t[[#This Row],[Distribution Date]])</calculatedColumnFormula>
      <xmlColumnPr mapId="4" xpath="/dataroot/Data_NFI_T/year" xmlDataType="double"/>
    </tableColumn>
    <tableColumn id="1" uniqueName="Distribution Date" name="Distribution Date" dataDxfId="494">
      <xmlColumnPr mapId="4" xpath="/dataroot/Data_NFI_T/Distribution_x005f_x0020_Date" xmlDataType="dateTime"/>
    </tableColumn>
    <tableColumn id="2" uniqueName="Organization" name="Organization" dataDxfId="493">
      <xmlColumnPr mapId="4" xpath="/dataroot/Data_NFI_T/Organization" xmlDataType="string"/>
    </tableColumn>
    <tableColumn id="3" uniqueName="Implementing Partner" name="Implementing Partner" dataDxfId="492" totalsRowDxfId="491">
      <xmlColumnPr mapId="4" xpath="/dataroot/Data_NFI_T/Implementing_x005f_x0020_Partner" xmlDataType="string"/>
    </tableColumn>
    <tableColumn id="4" uniqueName="State" name="State" dataDxfId="490">
      <xmlColumnPr mapId="4" xpath="/dataroot/Data_NFI_T/State" xmlDataType="string"/>
    </tableColumn>
    <tableColumn id="5" uniqueName="Township" name="Township" dataDxfId="489">
      <xmlColumnPr mapId="4" xpath="/dataroot/Data_NFI_T/Township" xmlDataType="string"/>
    </tableColumn>
    <tableColumn id="6" uniqueName="Camp Name" name="Camp Name" dataDxfId="488">
      <xmlColumnPr mapId="4" xpath="/dataroot/Data_NFI_T/Camp_x005f_x0020_Name" xmlDataType="string"/>
    </tableColumn>
    <tableColumn id="7" uniqueName="Hygiene Kit" name="Hygiene Kit" dataDxfId="487" totalsRowDxfId="486">
      <xmlColumnPr mapId="4" xpath="/dataroot/Data_NFI_T/Hygiene_x005f_x0020_Kit" xmlDataType="string"/>
    </tableColumn>
    <tableColumn id="43" uniqueName="43" name="Household Coverage" dataDxfId="485" totalsRowDxfId="484"/>
    <tableColumn id="42" uniqueName="42" name=" Estimated Individual Coverage" dataDxfId="483" totalsRowDxfId="482"/>
    <tableColumn id="8" uniqueName="NFI Core Kit" name="NFI Core Kit" dataDxfId="481" totalsRowDxfId="480">
      <xmlColumnPr mapId="4" xpath="/dataroot/Data_NFI_T/NFI_x005f_x0020_Core_x005f_x0020_Kit" xmlDataType="string"/>
    </tableColumn>
    <tableColumn id="9" uniqueName="Sanitary Kit" name="Sanitary Kit" dataDxfId="479" totalsRowDxfId="478">
      <xmlColumnPr mapId="4" xpath="/dataroot/Data_NFI_T/Sanitary_x005f_x0020_Kit" xmlDataType="string"/>
    </tableColumn>
    <tableColumn id="10" uniqueName="Mosquito net" name="Mosquito net" dataDxfId="477" totalsRowDxfId="476">
      <xmlColumnPr mapId="4" xpath="/dataroot/Data_NFI_T/Mosquito_x005f_x0020_net" xmlDataType="string"/>
    </tableColumn>
    <tableColumn id="11" uniqueName="Tarpaulin" name="Tarpaulin" dataDxfId="475" totalsRowDxfId="474">
      <xmlColumnPr mapId="4" xpath="/dataroot/Data_NFI_T/Tarpaulin" xmlDataType="double"/>
    </tableColumn>
    <tableColumn id="12" uniqueName="Blanket" name="Blanket" dataDxfId="473" totalsRowDxfId="472">
      <xmlColumnPr mapId="4" xpath="/dataroot/Data_NFI_T/Blanket" xmlDataType="string"/>
    </tableColumn>
    <tableColumn id="13" uniqueName="Kitchen Set" name="Kitchen Set" dataDxfId="471" totalsRowDxfId="470">
      <xmlColumnPr mapId="4" xpath="/dataroot/Data_NFI_T/Kitchen_x005f_x0020_Set" xmlDataType="string"/>
    </tableColumn>
    <tableColumn id="14" uniqueName="Complementary Kit" name="Complementary Kit" dataDxfId="469" totalsRowDxfId="468">
      <xmlColumnPr mapId="4" xpath="/dataroot/Data_NFI_T/Complementary_x005f_x0020_Kit" xmlDataType="string"/>
    </tableColumn>
    <tableColumn id="26" uniqueName="Plastic Bucket" name="Plastic Bucket" dataDxfId="467" totalsRowDxfId="466">
      <xmlColumnPr mapId="4" xpath="/dataroot/Data_NFI_T/Plastic_x005f_x0020_Bucket" xmlDataType="string"/>
    </tableColumn>
    <tableColumn id="30" uniqueName="30" name="Jerry Can" dataDxfId="465" totalsRowDxfId="464"/>
    <tableColumn id="25" uniqueName="Plastic Mat" name="Plastic Mat" dataDxfId="463" totalsRowDxfId="462">
      <xmlColumnPr mapId="4" xpath="/dataroot/Data_NFI_T/Plastic_x005f_x0020_Mat" xmlDataType="string"/>
    </tableColumn>
    <tableColumn id="35" uniqueName="35" name="Adult Clothes" totalsRowDxfId="461"/>
    <tableColumn id="34" uniqueName="34" name="Children Clothes" totalsRowDxfId="460"/>
    <tableColumn id="32" uniqueName="32" name="Sewing Kit" dataDxfId="459" totalsRowDxfId="458"/>
    <tableColumn id="40" uniqueName="40" name="Solar Lantern" dataDxfId="457" totalsRowDxfId="456"/>
    <tableColumn id="44" uniqueName="44" name="Bathing Towel" dataDxfId="455" totalsRowDxfId="454"/>
    <tableColumn id="45" uniqueName="45" name="Storage Container" dataDxfId="453" totalsRowDxfId="452"/>
    <tableColumn id="46" uniqueName="46" name="CGI Sheet" dataDxfId="451" totalsRowDxfId="450"/>
    <tableColumn id="47" uniqueName="47" name="Rope" dataDxfId="449" totalsRowDxfId="448"/>
    <tableColumn id="15" uniqueName="Hygiene Kit_LS" name="Hygiene Kit_LS" dataDxfId="447">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46">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45">
      <calculatedColumnFormula>IF(NFI_Expiration=1,IF($A6&lt;VLOOKUP(M$5,NFI,5,0),1,0)*Data_NFI_t[[#This Row],[Sanitary Kit]],0)</calculatedColumnFormula>
      <xmlColumnPr mapId="4" xpath="/dataroot/Data_NFI_T/Sanitary_x005f_x0020_Kit4_LS" xmlDataType="double"/>
    </tableColumn>
    <tableColumn id="49" uniqueName="49" name="Rope_LS" dataDxfId="444" totalsRowDxfId="443"/>
    <tableColumn id="18" uniqueName="Mosquito net5_LS" name="Mosquito net_LS" dataDxfId="442">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1">
      <calculatedColumnFormula>IF(NFI_Expiration=1,IF($A6&lt;VLOOKUP(O$5,NFI,5,0),1,0)*Data_NFI_t[[#This Row],[Tarpaulin]],0)</calculatedColumnFormula>
      <xmlColumnPr mapId="4" xpath="/dataroot/Data_NFI_T/Tarpaulin_LS" xmlDataType="double"/>
    </tableColumn>
    <tableColumn id="20" uniqueName="Blanket_LS" name="Blanket_LS" dataDxfId="440">
      <calculatedColumnFormula>IF(NFI_Expiration=1,IF($A6&lt;VLOOKUP(P$5,NFI,5,0),1,0)*Data_NFI_t[[#This Row],[Blanket]],0)</calculatedColumnFormula>
      <xmlColumnPr mapId="4" xpath="/dataroot/Data_NFI_T/Blanket_LS" xmlDataType="double"/>
    </tableColumn>
    <tableColumn id="21" uniqueName="Kitchen Set_LS" name="Kitchen Set_LS" dataDxfId="439">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8">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7">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6">
      <calculatedColumnFormula>IF(NFI_Expiration=1,IF($A6&lt;VLOOKUP(T$5,NFI,5,0),1,0)*Data_NFI_t[[#This Row],[Jerry Can]],0)</calculatedColumnFormula>
    </tableColumn>
    <tableColumn id="27" uniqueName="Plastic  Mat_LS" name="Plastic  Mat_LS" dataDxfId="435">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4">
      <calculatedColumnFormula>IF(NFI_Expiration=1,IF($A6&lt;VLOOKUP(V$5,NFI,5,0),1,0)*Data_NFI_t[[#This Row],[Adult Clothes]],0)</calculatedColumnFormula>
    </tableColumn>
    <tableColumn id="38" uniqueName="38" name="Children Clothes_LS" dataDxfId="433">
      <calculatedColumnFormula>IF(NFI_Expiration=1,IF($A6&lt;VLOOKUP(W$5,NFI,5,0),1,0)*Data_NFI_t[[#This Row],[Children Clothes]],0)</calculatedColumnFormula>
    </tableColumn>
    <tableColumn id="37" uniqueName="37" name="Sewing Kit_LS" dataDxfId="432">
      <calculatedColumnFormula>IF(NFI_Expiration=1,IF($A6&lt;VLOOKUP(X$5,NFI,5,0),1,0)*Data_NFI_t[[#This Row],[Sewing Kit]],0)</calculatedColumnFormula>
    </tableColumn>
    <tableColumn id="41" uniqueName="41" name="Solar Lantern_LS" dataDxfId="431">
      <calculatedColumnFormula>IF(NFI_Expiration=1,IF($A6&lt;VLOOKUP(X$5,NFI,5,0),1,0)*Data_NFI_t[[#This Row],[Solar Lantern]],0)</calculatedColumnFormula>
    </tableColumn>
    <tableColumn id="23" uniqueName="Pcode" name="Pcode" dataDxfId="430">
      <calculatedColumnFormula>IFERROR(OFFSET(Camp_List[P_Code],MATCH(Data_NFI_t[[#This Row],[Camp Name]],Camp_List[Camp Name],0)-1,0,1,1),"")</calculatedColumnFormula>
      <xmlColumnPr mapId="4" xpath="/dataroot/Data_NFI_T/Pcode" xmlDataType="string"/>
    </tableColumn>
    <tableColumn id="24" uniqueName="Status" name="Status" dataDxfId="429">
      <calculatedColumnFormula>IFERROR(OFFSET(Camp_List[Status],MATCH(Data_NFI_t[[#This Row],[Camp Name]],Camp_List[Camp Name],0)-1,0,1,1),"")</calculatedColumnFormula>
      <xmlColumnPr mapId="4" xpath="/dataroot/Data_NFI_T/Status" xmlDataType="string"/>
    </tableColumn>
    <tableColumn id="39" uniqueName="39" name="Remark" dataDxfId="428"/>
  </tableColumns>
  <tableStyleInfo name="TableStyleLight1" showFirstColumn="0" showLastColumn="0" showRowStripes="1" showColumnStripes="0"/>
</table>
</file>

<file path=xl/tables/table22.xml><?xml version="1.0" encoding="utf-8"?>
<table xmlns="http://schemas.openxmlformats.org/spreadsheetml/2006/main" id="22" name="Table22" displayName="Table22" ref="B11:L22" totalsRowShown="0" headerRowDxfId="379" headerRowBorderDxfId="378" tableBorderDxfId="377" totalsRowBorderDxfId="376">
  <tableColumns count="11">
    <tableColumn id="1" name="Items (Direct and through Kits)" dataDxfId="375"/>
    <tableColumn id="2" name="Requirement_x000a_HH(s)" dataDxfId="374" dataCellStyle="Comma 4 10">
      <calculatedColumnFormula>$D$6</calculatedColumnFormula>
    </tableColumn>
    <tableColumn id="3" name="Distributed _x000a_HH(s)" dataDxfId="373" dataCellStyle="Comma 4 10"/>
    <tableColumn id="4" name="HH Coverage (%)" dataDxfId="372" dataCellStyle="Percent">
      <calculatedColumnFormula>IF((D12/C12)&gt;100%,100%,(D12/C12))</calculatedColumnFormula>
    </tableColumn>
    <tableColumn id="5" name="HH Gap" dataDxfId="371" dataCellStyle="Comma 4 10">
      <calculatedColumnFormula>C12-D12</calculatedColumnFormula>
    </tableColumn>
    <tableColumn id="6" name="HH Gap (%)" dataDxfId="370" dataCellStyle="Percent">
      <calculatedColumnFormula>IF(F12/C12&lt;0,0,F12/C12)</calculatedColumnFormula>
    </tableColumn>
    <tableColumn id="7" name="Requirment (Individuals)" dataDxfId="369" dataCellStyle="Comma 4 10"/>
    <tableColumn id="8" name="Distributed  (Individuals)" dataDxfId="368" dataCellStyle="Comma"/>
    <tableColumn id="9" name="Individual Coverage" dataDxfId="367" dataCellStyle="Percent">
      <calculatedColumnFormula>IF(I12/H12&gt;100%,100%,I12/H12)</calculatedColumnFormula>
    </tableColumn>
    <tableColumn id="10" name="Individaul Gap" dataDxfId="366" dataCellStyle="Percent">
      <calculatedColumnFormula>H12-I12</calculatedColumnFormula>
    </tableColumn>
    <tableColumn id="11" name="Individual Gap (%)" dataDxfId="365"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26" dataDxfId="1225">
  <autoFilter ref="N1:N6"/>
  <sortState ref="N2:N5">
    <sortCondition ref="N3"/>
  </sortState>
  <tableColumns count="1">
    <tableColumn id="1" name="Type of Accomodation" dataDxfId="1224"/>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23" dataDxfId="1222">
  <autoFilter ref="P1:P4"/>
  <tableColumns count="1">
    <tableColumn id="1" name="Camp_Acessibility" dataDxfId="1221"/>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20">
  <autoFilter ref="Z1:AB7"/>
  <sortState ref="Z2:AB7">
    <sortCondition ref="Z6"/>
  </sortState>
  <tableColumns count="3">
    <tableColumn id="1" name="Organization_Code" dataDxfId="1219"/>
    <tableColumn id="2" name="Organization" dataDxfId="1218"/>
    <tableColumn id="3" name="Contact" dataDxfId="1217"/>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B28" sqref="B28"/>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d:\Rakhine_CampList_20181130.kml</v>
      </c>
      <c r="G2" t="s">
        <v>630</v>
      </c>
      <c r="H2" t="s">
        <v>631</v>
      </c>
      <c r="K2" t="s">
        <v>632</v>
      </c>
      <c r="L2" t="s">
        <v>633</v>
      </c>
      <c r="M2" t="s">
        <v>634</v>
      </c>
    </row>
    <row r="3" spans="1:13" x14ac:dyDescent="0.25">
      <c r="A3" s="102"/>
      <c r="B3" s="104" t="s">
        <v>635</v>
      </c>
      <c r="C3" s="78" t="str">
        <f>CONCATENATE("Rakhine_CampList_",TEXT(Report_Date,"yyyymmdd"))</f>
        <v>Rakhine_CampList_20181130</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5124</v>
      </c>
      <c r="Y9" s="118">
        <f>'CCCM Dashboard'!J21</f>
        <v>22299</v>
      </c>
      <c r="Z9" s="118">
        <f>'CCCM Dashboard'!K21</f>
        <v>4</v>
      </c>
      <c r="AA9" s="119">
        <f ca="1">'Shelter Coverage &amp; Gaps'!O11</f>
        <v>0.81004184100418408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18819</v>
      </c>
      <c r="Y12" s="118">
        <f>'CCCM Dashboard'!J24</f>
        <v>100848</v>
      </c>
      <c r="Z12" s="118">
        <f>'CCCM Dashboard'!K24</f>
        <v>12</v>
      </c>
      <c r="AA12" s="119">
        <f ca="1">'Shelter Coverage &amp; Gaps'!O13</f>
        <v>0.75753228120516503</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26" priority="1" operator="between">
      <formula>0.4</formula>
      <formula>0.6</formula>
    </cfRule>
    <cfRule type="cellIs" dxfId="1125" priority="2" operator="greaterThan">
      <formula>0.8</formula>
    </cfRule>
    <cfRule type="cellIs" dxfId="1124" priority="3" operator="between">
      <formula>0.6</formula>
      <formula>0.8</formula>
    </cfRule>
    <cfRule type="cellIs" dxfId="1123" priority="4" operator="between">
      <formula>0.2</formula>
      <formula>0.4</formula>
    </cfRule>
    <cfRule type="cellIs" dxfId="112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908</v>
      </c>
      <c r="D2" t="s">
        <v>917</v>
      </c>
    </row>
    <row r="3" spans="1:15" x14ac:dyDescent="0.25">
      <c r="B3" t="s">
        <v>909</v>
      </c>
    </row>
    <row r="5" spans="1:15" x14ac:dyDescent="0.25">
      <c r="A5" s="26" t="s">
        <v>913</v>
      </c>
      <c r="B5" s="455">
        <f>SUMIFS(Camplist_Popl,CampList_TypeOfAcc,"Planned Camp")</f>
        <v>103031</v>
      </c>
    </row>
    <row r="6" spans="1:15" s="78" customFormat="1" x14ac:dyDescent="0.25">
      <c r="A6" s="26" t="s">
        <v>915</v>
      </c>
      <c r="B6" s="455">
        <f>SUMIFS(Camplist_Popl,CampList_TypeOfAcc,"Self Settled Camp")</f>
        <v>13618</v>
      </c>
      <c r="C6" s="645"/>
    </row>
    <row r="7" spans="1:15" s="78" customFormat="1" x14ac:dyDescent="0.25">
      <c r="A7" s="26" t="s">
        <v>914</v>
      </c>
      <c r="B7" s="455">
        <f>SUMIFS(Camplist_Popl,CampList_TypeOfAcc,"Host Families")</f>
        <v>6119</v>
      </c>
      <c r="C7" s="645"/>
    </row>
    <row r="8" spans="1:15" s="645" customFormat="1" x14ac:dyDescent="0.25">
      <c r="A8" s="646" t="s">
        <v>920</v>
      </c>
      <c r="B8" s="455">
        <f>SUMIFS(Camplist_Popl,CampList_TypeOfAcc,"Individual House",CampList_Status,"Open")</f>
        <v>4665</v>
      </c>
    </row>
    <row r="9" spans="1:15" ht="30" x14ac:dyDescent="0.25">
      <c r="A9" s="468" t="s">
        <v>916</v>
      </c>
      <c r="B9" s="455">
        <f>SUMIFS(Camplist_Popl,CampList_Status,"Relocated in Individual Housing")</f>
        <v>0</v>
      </c>
    </row>
    <row r="10" spans="1:15" ht="30" x14ac:dyDescent="0.25">
      <c r="A10" s="461" t="s">
        <v>921</v>
      </c>
      <c r="B10" s="455">
        <f>SUMIFS(Camplist_Popl,CampList_Status,"Returned in Individual Housing")</f>
        <v>0</v>
      </c>
      <c r="N10" s="462"/>
      <c r="O10" s="16"/>
    </row>
    <row r="11" spans="1:15" x14ac:dyDescent="0.25">
      <c r="B11" s="456"/>
      <c r="N11" s="462"/>
      <c r="O11" s="16"/>
    </row>
    <row r="12" spans="1:15" x14ac:dyDescent="0.25">
      <c r="B12" s="456">
        <f>SUM(B5:B10)</f>
        <v>127433</v>
      </c>
      <c r="N12" s="462"/>
      <c r="O12" s="16"/>
    </row>
    <row r="18" spans="1:1" x14ac:dyDescent="0.25">
      <c r="A18" s="457"/>
    </row>
    <row r="19" spans="1:1" x14ac:dyDescent="0.25">
      <c r="A19" s="458"/>
    </row>
    <row r="20" spans="1:1" x14ac:dyDescent="0.25">
      <c r="A20" s="458"/>
    </row>
    <row r="21" spans="1:1" x14ac:dyDescent="0.25">
      <c r="A21" s="458"/>
    </row>
  </sheetData>
  <conditionalFormatting sqref="A18:A21">
    <cfRule type="cellIs" dxfId="1088"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E53" sqref="E53"/>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28" t="s">
        <v>721</v>
      </c>
      <c r="B1" s="1129"/>
      <c r="C1" s="1129"/>
      <c r="D1" s="497"/>
      <c r="E1" s="498"/>
      <c r="F1" s="498"/>
      <c r="G1" s="499"/>
      <c r="H1" s="500"/>
    </row>
    <row r="2" spans="1:11" ht="15.75" thickBot="1" x14ac:dyDescent="0.3">
      <c r="A2" s="501">
        <f>Report_Date</f>
        <v>43434</v>
      </c>
      <c r="B2" s="502"/>
      <c r="C2" s="502"/>
      <c r="D2" s="502"/>
      <c r="E2" s="503"/>
      <c r="F2" s="503"/>
      <c r="G2" s="504"/>
      <c r="H2" s="505"/>
    </row>
    <row r="3" spans="1:11" ht="15.75" thickBot="1" x14ac:dyDescent="0.3"/>
    <row r="4" spans="1:11" ht="15.75" thickBot="1" x14ac:dyDescent="0.3">
      <c r="A4" s="621" t="s">
        <v>329</v>
      </c>
      <c r="B4" s="622" t="s">
        <v>331</v>
      </c>
      <c r="E4" s="605"/>
      <c r="F4" s="605"/>
    </row>
    <row r="5" spans="1:11" ht="15.75" thickBot="1" x14ac:dyDescent="0.3">
      <c r="A5" s="621" t="s">
        <v>22</v>
      </c>
      <c r="B5" s="622" t="s">
        <v>716</v>
      </c>
      <c r="E5" s="605"/>
      <c r="F5" s="605"/>
    </row>
    <row r="6" spans="1:11" ht="15.75" thickBot="1" x14ac:dyDescent="0.3">
      <c r="E6" s="605"/>
      <c r="F6" s="605"/>
    </row>
    <row r="7" spans="1:11" ht="15.75" thickBot="1" x14ac:dyDescent="0.3">
      <c r="A7" s="496" t="s">
        <v>0</v>
      </c>
      <c r="B7" s="506" t="s">
        <v>9</v>
      </c>
      <c r="C7" s="508" t="s">
        <v>8</v>
      </c>
      <c r="D7" s="640" t="s">
        <v>605</v>
      </c>
      <c r="E7" s="641" t="s">
        <v>751</v>
      </c>
      <c r="F7" s="642" t="s">
        <v>746</v>
      </c>
      <c r="G7" s="623" t="s">
        <v>927</v>
      </c>
      <c r="H7"/>
      <c r="I7"/>
    </row>
    <row r="8" spans="1:11" ht="15.75" thickBot="1" x14ac:dyDescent="0.3">
      <c r="A8" s="1130" t="s">
        <v>13</v>
      </c>
      <c r="B8" s="1097" t="s">
        <v>38</v>
      </c>
      <c r="C8" s="147" t="s">
        <v>124</v>
      </c>
      <c r="D8" s="625">
        <v>1249</v>
      </c>
      <c r="E8" s="626">
        <v>4726</v>
      </c>
      <c r="F8" s="627">
        <v>1</v>
      </c>
      <c r="G8" s="628">
        <v>0.61489191353082462</v>
      </c>
      <c r="H8"/>
      <c r="I8"/>
    </row>
    <row r="9" spans="1:11" ht="15.75" thickBot="1" x14ac:dyDescent="0.3">
      <c r="A9" s="1131"/>
      <c r="B9" s="1098" t="s">
        <v>40</v>
      </c>
      <c r="C9" s="147" t="s">
        <v>126</v>
      </c>
      <c r="D9" s="629">
        <v>1343</v>
      </c>
      <c r="E9" s="594">
        <v>5945</v>
      </c>
      <c r="F9" s="595">
        <v>1</v>
      </c>
      <c r="G9" s="596">
        <v>0.99478778853313476</v>
      </c>
      <c r="H9"/>
      <c r="I9"/>
    </row>
    <row r="10" spans="1:11" s="251" customFormat="1" ht="15.75" thickBot="1" x14ac:dyDescent="0.3">
      <c r="A10" s="1131"/>
      <c r="B10" s="624" t="s">
        <v>41</v>
      </c>
      <c r="C10" s="147" t="s">
        <v>127</v>
      </c>
      <c r="D10" s="630">
        <v>617</v>
      </c>
      <c r="E10" s="631">
        <v>2845</v>
      </c>
      <c r="F10" s="632">
        <v>1</v>
      </c>
      <c r="G10" s="633">
        <v>1</v>
      </c>
      <c r="H10"/>
      <c r="I10"/>
    </row>
    <row r="11" spans="1:11" ht="15.75" thickBot="1" x14ac:dyDescent="0.3">
      <c r="A11" s="1132"/>
      <c r="B11" s="1099" t="s">
        <v>982</v>
      </c>
      <c r="C11" s="1099" t="s">
        <v>125</v>
      </c>
      <c r="D11" s="629">
        <v>905</v>
      </c>
      <c r="E11" s="594">
        <v>4118</v>
      </c>
      <c r="F11" s="595">
        <v>1</v>
      </c>
      <c r="G11" s="593">
        <v>1</v>
      </c>
      <c r="H11"/>
      <c r="I11"/>
    </row>
    <row r="12" spans="1:11" ht="15.75" thickBot="1" x14ac:dyDescent="0.3">
      <c r="A12" s="1133" t="s">
        <v>598</v>
      </c>
      <c r="B12" s="1134"/>
      <c r="C12" s="1135"/>
      <c r="D12" s="634">
        <v>4114</v>
      </c>
      <c r="E12" s="635">
        <v>17634</v>
      </c>
      <c r="F12" s="636">
        <v>4</v>
      </c>
      <c r="G12" s="637">
        <v>3.6096797020639593</v>
      </c>
      <c r="H12"/>
      <c r="I12"/>
    </row>
    <row r="13" spans="1:11" ht="15.75" thickBot="1" x14ac:dyDescent="0.3">
      <c r="A13" s="1130" t="s">
        <v>17</v>
      </c>
      <c r="B13" s="1097" t="s">
        <v>59</v>
      </c>
      <c r="C13" s="147" t="s">
        <v>145</v>
      </c>
      <c r="D13" s="629">
        <v>396</v>
      </c>
      <c r="E13" s="594">
        <v>2267</v>
      </c>
      <c r="F13" s="595">
        <v>1</v>
      </c>
      <c r="G13" s="596">
        <v>1</v>
      </c>
      <c r="H13"/>
      <c r="I13"/>
    </row>
    <row r="14" spans="1:11" ht="15.75" thickBot="1" x14ac:dyDescent="0.3">
      <c r="A14" s="1131"/>
      <c r="B14" s="1098" t="s">
        <v>509</v>
      </c>
      <c r="C14" s="147" t="s">
        <v>510</v>
      </c>
      <c r="D14" s="629">
        <v>41</v>
      </c>
      <c r="E14" s="594">
        <v>226</v>
      </c>
      <c r="F14" s="595">
        <v>1</v>
      </c>
      <c r="G14" s="593">
        <v>0</v>
      </c>
      <c r="H14"/>
      <c r="I14"/>
    </row>
    <row r="15" spans="1:11" ht="15.75" thickBot="1" x14ac:dyDescent="0.3">
      <c r="A15" s="1131"/>
      <c r="B15" s="1098" t="s">
        <v>581</v>
      </c>
      <c r="C15" s="147" t="s">
        <v>583</v>
      </c>
      <c r="D15" s="629">
        <v>1013</v>
      </c>
      <c r="E15" s="594">
        <v>4757</v>
      </c>
      <c r="F15" s="595">
        <v>1</v>
      </c>
      <c r="G15" s="596">
        <v>1</v>
      </c>
      <c r="H15"/>
      <c r="I15"/>
    </row>
    <row r="16" spans="1:11" ht="15.75" thickBot="1" x14ac:dyDescent="0.3">
      <c r="A16" s="1131"/>
      <c r="B16" s="1098" t="s">
        <v>582</v>
      </c>
      <c r="C16" s="147" t="s">
        <v>584</v>
      </c>
      <c r="D16" s="629">
        <v>1334</v>
      </c>
      <c r="E16" s="594">
        <v>6611</v>
      </c>
      <c r="F16" s="595">
        <v>1</v>
      </c>
      <c r="G16" s="596">
        <v>1</v>
      </c>
      <c r="H16"/>
      <c r="I16"/>
      <c r="K16" s="1" t="s">
        <v>722</v>
      </c>
    </row>
    <row r="17" spans="1:9" ht="15.75" thickBot="1" x14ac:dyDescent="0.3">
      <c r="A17" s="1131"/>
      <c r="B17" s="1098" t="s">
        <v>61</v>
      </c>
      <c r="C17" s="147" t="s">
        <v>147</v>
      </c>
      <c r="D17" s="629">
        <v>1983</v>
      </c>
      <c r="E17" s="594">
        <v>11363</v>
      </c>
      <c r="F17" s="595">
        <v>1</v>
      </c>
      <c r="G17" s="596">
        <v>0.98991427130610188</v>
      </c>
      <c r="H17"/>
      <c r="I17"/>
    </row>
    <row r="18" spans="1:9" ht="15.75" thickBot="1" x14ac:dyDescent="0.3">
      <c r="A18" s="1131"/>
      <c r="B18" s="1098" t="s">
        <v>499</v>
      </c>
      <c r="C18" s="147" t="s">
        <v>500</v>
      </c>
      <c r="D18" s="629">
        <v>518</v>
      </c>
      <c r="E18" s="594">
        <v>2951</v>
      </c>
      <c r="F18" s="595">
        <v>1</v>
      </c>
      <c r="G18" s="593">
        <v>0</v>
      </c>
      <c r="H18"/>
      <c r="I18"/>
    </row>
    <row r="19" spans="1:9" ht="15.75" thickBot="1" x14ac:dyDescent="0.3">
      <c r="A19" s="1131"/>
      <c r="B19" s="1098" t="s">
        <v>580</v>
      </c>
      <c r="C19" s="147" t="s">
        <v>268</v>
      </c>
      <c r="D19" s="629">
        <v>622</v>
      </c>
      <c r="E19" s="594">
        <v>3370</v>
      </c>
      <c r="F19" s="595">
        <v>1</v>
      </c>
      <c r="G19" s="596">
        <v>1</v>
      </c>
      <c r="H19"/>
      <c r="I19"/>
    </row>
    <row r="20" spans="1:9" ht="15.75" thickBot="1" x14ac:dyDescent="0.3">
      <c r="A20" s="1131"/>
      <c r="B20" s="1098" t="s">
        <v>585</v>
      </c>
      <c r="C20" s="147" t="s">
        <v>502</v>
      </c>
      <c r="D20" s="629">
        <v>734</v>
      </c>
      <c r="E20" s="594">
        <v>4007</v>
      </c>
      <c r="F20" s="595">
        <v>1</v>
      </c>
      <c r="G20" s="596">
        <v>0.87193460490463215</v>
      </c>
      <c r="H20"/>
      <c r="I20"/>
    </row>
    <row r="21" spans="1:9" ht="15.75" thickBot="1" x14ac:dyDescent="0.3">
      <c r="A21" s="1131"/>
      <c r="B21" s="1098" t="s">
        <v>586</v>
      </c>
      <c r="C21" s="147" t="s">
        <v>588</v>
      </c>
      <c r="D21" s="629">
        <v>2668</v>
      </c>
      <c r="E21" s="594">
        <v>13794</v>
      </c>
      <c r="F21" s="595">
        <v>1</v>
      </c>
      <c r="G21" s="596">
        <v>1</v>
      </c>
      <c r="H21"/>
      <c r="I21"/>
    </row>
    <row r="22" spans="1:9" ht="15.75" thickBot="1" x14ac:dyDescent="0.3">
      <c r="A22" s="1131"/>
      <c r="B22" s="1098" t="s">
        <v>587</v>
      </c>
      <c r="C22" s="147" t="s">
        <v>589</v>
      </c>
      <c r="D22" s="629">
        <v>2259</v>
      </c>
      <c r="E22" s="594">
        <v>11322</v>
      </c>
      <c r="F22" s="595">
        <v>1</v>
      </c>
      <c r="G22" s="596">
        <v>1</v>
      </c>
      <c r="H22"/>
      <c r="I22"/>
    </row>
    <row r="23" spans="1:9" ht="15.75" thickBot="1" x14ac:dyDescent="0.3">
      <c r="A23" s="1131"/>
      <c r="B23" s="1098" t="s">
        <v>65</v>
      </c>
      <c r="C23" s="147" t="s">
        <v>151</v>
      </c>
      <c r="D23" s="629">
        <v>2703</v>
      </c>
      <c r="E23" s="594">
        <v>13711</v>
      </c>
      <c r="F23" s="595">
        <v>1</v>
      </c>
      <c r="G23" s="596">
        <v>0.99149093599704041</v>
      </c>
      <c r="H23"/>
      <c r="I23"/>
    </row>
    <row r="24" spans="1:9" ht="15.75" thickBot="1" x14ac:dyDescent="0.3">
      <c r="A24" s="1131"/>
      <c r="B24" s="1098" t="s">
        <v>66</v>
      </c>
      <c r="C24" s="147" t="s">
        <v>152</v>
      </c>
      <c r="D24" s="629">
        <v>2272</v>
      </c>
      <c r="E24" s="594">
        <v>13072</v>
      </c>
      <c r="F24" s="595">
        <v>1</v>
      </c>
      <c r="G24" s="596">
        <v>1</v>
      </c>
      <c r="H24"/>
      <c r="I24"/>
    </row>
    <row r="25" spans="1:9" ht="15.75" thickBot="1" x14ac:dyDescent="0.3">
      <c r="A25" s="1131"/>
      <c r="B25" s="1098" t="s">
        <v>68</v>
      </c>
      <c r="C25" s="147" t="s">
        <v>154</v>
      </c>
      <c r="D25" s="629">
        <v>981</v>
      </c>
      <c r="E25" s="594">
        <v>5926</v>
      </c>
      <c r="F25" s="595">
        <v>1</v>
      </c>
      <c r="G25" s="596">
        <v>1</v>
      </c>
      <c r="H25"/>
      <c r="I25"/>
    </row>
    <row r="26" spans="1:9" ht="15.75" thickBot="1" x14ac:dyDescent="0.3">
      <c r="A26" s="1131"/>
      <c r="B26" s="624" t="s">
        <v>497</v>
      </c>
      <c r="C26" s="147" t="s">
        <v>267</v>
      </c>
      <c r="D26" s="630">
        <v>496</v>
      </c>
      <c r="E26" s="631">
        <v>2942</v>
      </c>
      <c r="F26" s="632">
        <v>1</v>
      </c>
      <c r="G26" s="638">
        <v>0</v>
      </c>
      <c r="H26"/>
      <c r="I26"/>
    </row>
    <row r="27" spans="1:9" x14ac:dyDescent="0.25">
      <c r="A27" s="1131"/>
      <c r="B27" s="1099" t="s">
        <v>1054</v>
      </c>
      <c r="C27" s="1099" t="s">
        <v>148</v>
      </c>
      <c r="D27" s="629">
        <v>400</v>
      </c>
      <c r="E27" s="594">
        <v>2306</v>
      </c>
      <c r="F27" s="595">
        <v>1</v>
      </c>
      <c r="G27" s="593">
        <v>0</v>
      </c>
      <c r="H27"/>
      <c r="I27"/>
    </row>
    <row r="28" spans="1:9" ht="15.75" thickBot="1" x14ac:dyDescent="0.3">
      <c r="A28" s="1132"/>
      <c r="B28" s="1099" t="s">
        <v>1055</v>
      </c>
      <c r="C28" s="1099" t="s">
        <v>148</v>
      </c>
      <c r="D28" s="629">
        <v>399</v>
      </c>
      <c r="E28" s="594">
        <v>2223</v>
      </c>
      <c r="F28" s="595">
        <v>1</v>
      </c>
      <c r="G28" s="593">
        <v>0</v>
      </c>
      <c r="H28"/>
      <c r="I28"/>
    </row>
    <row r="29" spans="1:9" ht="15.75" thickBot="1" x14ac:dyDescent="0.3">
      <c r="A29" s="1133" t="s">
        <v>596</v>
      </c>
      <c r="B29" s="1134"/>
      <c r="C29" s="1135"/>
      <c r="D29" s="634">
        <v>18819</v>
      </c>
      <c r="E29" s="635">
        <v>100848</v>
      </c>
      <c r="F29" s="636">
        <v>16</v>
      </c>
      <c r="G29" s="637">
        <v>10.853339812207775</v>
      </c>
      <c r="H29"/>
      <c r="I29"/>
    </row>
    <row r="30" spans="1:9" ht="15.75" thickBot="1" x14ac:dyDescent="0.3">
      <c r="A30" s="147" t="s">
        <v>814</v>
      </c>
      <c r="B30" s="147" t="s">
        <v>36</v>
      </c>
      <c r="C30" s="147" t="s">
        <v>122</v>
      </c>
      <c r="D30" s="630">
        <v>655</v>
      </c>
      <c r="E30" s="631">
        <v>2690</v>
      </c>
      <c r="F30" s="632">
        <v>1</v>
      </c>
      <c r="G30" s="633">
        <v>1</v>
      </c>
      <c r="H30"/>
      <c r="I30"/>
    </row>
    <row r="31" spans="1:9" ht="15.75" thickBot="1" x14ac:dyDescent="0.3">
      <c r="A31" s="1133" t="s">
        <v>815</v>
      </c>
      <c r="B31" s="1136"/>
      <c r="C31" s="1137"/>
      <c r="D31" s="634">
        <v>655</v>
      </c>
      <c r="E31" s="635">
        <v>2690</v>
      </c>
      <c r="F31" s="636">
        <v>1</v>
      </c>
      <c r="G31" s="637">
        <v>1</v>
      </c>
      <c r="H31"/>
      <c r="I31"/>
    </row>
    <row r="32" spans="1:9" ht="15.75" thickBot="1" x14ac:dyDescent="0.3">
      <c r="A32" s="1138" t="s">
        <v>204</v>
      </c>
      <c r="B32" s="1139"/>
      <c r="C32" s="1140"/>
      <c r="D32" s="639">
        <v>23588</v>
      </c>
      <c r="E32" s="597">
        <v>121172</v>
      </c>
      <c r="F32" s="598">
        <v>21</v>
      </c>
      <c r="G32" s="599">
        <v>15.463019514271734</v>
      </c>
      <c r="H32"/>
      <c r="I32"/>
    </row>
    <row r="33" spans="1:9" x14ac:dyDescent="0.25">
      <c r="A33" s="645"/>
      <c r="B33" s="645"/>
      <c r="C33" s="645"/>
      <c r="D33" s="645"/>
      <c r="E33" s="645"/>
      <c r="F33" s="645"/>
      <c r="G33" s="645"/>
      <c r="H33"/>
      <c r="I33"/>
    </row>
    <row r="34" spans="1:9" x14ac:dyDescent="0.25">
      <c r="A34" s="645"/>
      <c r="B34" s="645"/>
      <c r="C34" s="645"/>
      <c r="D34" s="645"/>
      <c r="E34" s="645"/>
      <c r="F34" s="645"/>
      <c r="G34" s="645"/>
      <c r="H34"/>
      <c r="I34"/>
    </row>
    <row r="35" spans="1:9" x14ac:dyDescent="0.25">
      <c r="A35" s="645"/>
      <c r="B35" s="645"/>
      <c r="C35" s="645"/>
      <c r="D35" s="645"/>
      <c r="E35" s="645"/>
      <c r="F35" s="645"/>
      <c r="G35" s="645"/>
    </row>
    <row r="36" spans="1:9" x14ac:dyDescent="0.25">
      <c r="A36" s="645"/>
      <c r="B36" s="645"/>
      <c r="C36" s="645"/>
      <c r="D36" s="645"/>
      <c r="E36" s="645"/>
      <c r="F36" s="645"/>
      <c r="G36" s="645"/>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8"/>
    <mergeCell ref="A29:C29"/>
    <mergeCell ref="A31:C31"/>
    <mergeCell ref="A32:C32"/>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E72" sqref="E72"/>
    </sheetView>
  </sheetViews>
  <sheetFormatPr defaultColWidth="9.140625" defaultRowHeight="15" x14ac:dyDescent="0.25"/>
  <cols>
    <col min="1" max="1" width="11.85546875" style="6" customWidth="1"/>
    <col min="2" max="2" width="10.140625" style="6" customWidth="1"/>
    <col min="3" max="3" width="10.5703125" style="6" customWidth="1"/>
    <col min="4" max="4" width="10.710937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41">
        <f>Report_Date</f>
        <v>43434</v>
      </c>
      <c r="B3" s="1141"/>
      <c r="C3" s="6"/>
      <c r="D3" s="6"/>
      <c r="E3" s="6"/>
      <c r="F3" s="6"/>
      <c r="G3" s="6"/>
      <c r="H3" s="6"/>
      <c r="I3" s="6"/>
      <c r="J3" s="6"/>
      <c r="K3" s="6"/>
      <c r="L3" s="6"/>
      <c r="M3" s="6"/>
      <c r="N3" s="6"/>
      <c r="O3" s="6"/>
      <c r="P3" s="6"/>
      <c r="Q3" s="6"/>
      <c r="R3" s="6"/>
      <c r="BC3" s="58"/>
      <c r="BD3" s="58"/>
    </row>
    <row r="4" spans="1:56" s="16" customFormat="1" ht="17.25" customHeight="1" x14ac:dyDescent="0.25">
      <c r="A4" s="619"/>
      <c r="B4" s="619"/>
      <c r="C4" s="38"/>
      <c r="D4" s="38"/>
      <c r="E4" s="38"/>
      <c r="F4" s="38"/>
      <c r="G4" s="38"/>
      <c r="H4" s="38"/>
      <c r="I4" s="38"/>
      <c r="J4" s="38"/>
      <c r="K4" s="38"/>
      <c r="L4" s="38"/>
      <c r="M4" s="38"/>
      <c r="N4" s="38"/>
      <c r="O4" s="38"/>
      <c r="P4" s="38"/>
      <c r="Q4" s="38"/>
      <c r="R4" s="38"/>
      <c r="BC4" s="58"/>
      <c r="BD4" s="58"/>
    </row>
    <row r="5" spans="1:56" s="16" customFormat="1" ht="15.75" x14ac:dyDescent="0.25">
      <c r="A5" s="619" t="s">
        <v>997</v>
      </c>
      <c r="B5" s="619"/>
      <c r="C5" s="509"/>
      <c r="D5" s="509"/>
      <c r="E5" s="38"/>
      <c r="F5" s="38"/>
      <c r="G5" s="38"/>
      <c r="H5" s="38"/>
      <c r="I5" s="38"/>
      <c r="J5" s="38"/>
      <c r="K5" s="38"/>
      <c r="L5" s="38"/>
      <c r="M5" s="38"/>
      <c r="N5" s="38"/>
      <c r="O5" s="38"/>
      <c r="P5" s="38"/>
      <c r="Q5" s="38"/>
      <c r="R5" s="38"/>
      <c r="BC5" s="58"/>
      <c r="BD5" s="58"/>
    </row>
    <row r="6" spans="1:56" s="16" customFormat="1" ht="15.75" x14ac:dyDescent="0.25">
      <c r="A6" s="620"/>
      <c r="B6" s="619"/>
      <c r="C6" s="38"/>
      <c r="D6" s="38"/>
      <c r="E6" s="38"/>
      <c r="F6" s="38"/>
      <c r="G6" s="38"/>
      <c r="H6" s="38"/>
      <c r="I6" s="38"/>
      <c r="J6" s="38"/>
      <c r="K6" s="38"/>
      <c r="L6" s="38"/>
      <c r="M6" s="38"/>
      <c r="N6" s="38"/>
      <c r="O6" s="38"/>
      <c r="P6" s="38"/>
      <c r="Q6" s="38"/>
      <c r="R6" s="38"/>
      <c r="BC6" s="58"/>
      <c r="BD6" s="58"/>
    </row>
    <row r="7" spans="1:56" x14ac:dyDescent="0.25">
      <c r="A7" s="1075" t="s">
        <v>10</v>
      </c>
      <c r="B7" s="1075" t="s">
        <v>7</v>
      </c>
      <c r="C7" s="6" t="s">
        <v>209</v>
      </c>
    </row>
    <row r="9" spans="1:56" x14ac:dyDescent="0.25">
      <c r="A9" s="1069" t="s">
        <v>203</v>
      </c>
      <c r="B9" s="1070" t="s">
        <v>205</v>
      </c>
      <c r="C9" s="1070" t="s">
        <v>207</v>
      </c>
      <c r="D9" s="1071" t="s">
        <v>206</v>
      </c>
      <c r="M9" s="9" t="s">
        <v>10</v>
      </c>
      <c r="N9" s="6" t="s">
        <v>604</v>
      </c>
      <c r="O9" s="6" t="s">
        <v>209</v>
      </c>
    </row>
    <row r="10" spans="1:56" x14ac:dyDescent="0.25">
      <c r="A10" s="413" t="s">
        <v>332</v>
      </c>
      <c r="B10" s="414">
        <v>52</v>
      </c>
      <c r="C10" s="414"/>
      <c r="D10" s="1072"/>
      <c r="T10"/>
      <c r="U10"/>
    </row>
    <row r="11" spans="1:56" x14ac:dyDescent="0.25">
      <c r="A11" s="413" t="s">
        <v>18</v>
      </c>
      <c r="B11" s="414">
        <v>11</v>
      </c>
      <c r="C11" s="414"/>
      <c r="D11" s="1072"/>
      <c r="M11" s="9" t="s">
        <v>203</v>
      </c>
      <c r="N11" s="6" t="s">
        <v>206</v>
      </c>
      <c r="O11"/>
      <c r="T11"/>
      <c r="U11"/>
    </row>
    <row r="12" spans="1:56" x14ac:dyDescent="0.25">
      <c r="A12" s="413" t="s">
        <v>11</v>
      </c>
      <c r="B12" s="414">
        <v>2</v>
      </c>
      <c r="C12" s="414"/>
      <c r="D12" s="1072"/>
      <c r="M12" s="7" t="s">
        <v>17</v>
      </c>
      <c r="N12" s="8">
        <v>105446</v>
      </c>
      <c r="O12"/>
      <c r="T12"/>
      <c r="U12"/>
    </row>
    <row r="13" spans="1:56" x14ac:dyDescent="0.25">
      <c r="A13" s="413" t="s">
        <v>13</v>
      </c>
      <c r="B13" s="414">
        <v>1</v>
      </c>
      <c r="C13" s="414"/>
      <c r="D13" s="1072"/>
      <c r="M13" s="7" t="s">
        <v>13</v>
      </c>
      <c r="N13" s="8">
        <v>22421</v>
      </c>
      <c r="O13"/>
      <c r="T13"/>
      <c r="U13"/>
    </row>
    <row r="14" spans="1:56" x14ac:dyDescent="0.25">
      <c r="A14" s="413" t="s">
        <v>16</v>
      </c>
      <c r="B14" s="414">
        <v>2</v>
      </c>
      <c r="C14" s="414"/>
      <c r="D14" s="1072"/>
      <c r="M14" s="7" t="s">
        <v>14</v>
      </c>
      <c r="N14" s="8">
        <v>6527</v>
      </c>
      <c r="O14"/>
      <c r="T14"/>
      <c r="U14"/>
    </row>
    <row r="15" spans="1:56" x14ac:dyDescent="0.25">
      <c r="A15" s="413" t="s">
        <v>17</v>
      </c>
      <c r="B15" s="414">
        <v>35</v>
      </c>
      <c r="C15" s="414"/>
      <c r="D15" s="1072"/>
      <c r="M15" s="7" t="s">
        <v>11</v>
      </c>
      <c r="N15" s="8">
        <v>5638</v>
      </c>
      <c r="O15"/>
      <c r="T15"/>
      <c r="U15"/>
    </row>
    <row r="16" spans="1:56" x14ac:dyDescent="0.25">
      <c r="A16" s="413" t="s">
        <v>932</v>
      </c>
      <c r="B16" s="414">
        <v>1</v>
      </c>
      <c r="C16" s="414"/>
      <c r="D16" s="1072"/>
      <c r="M16" s="7" t="s">
        <v>932</v>
      </c>
      <c r="N16" s="8">
        <v>3826</v>
      </c>
      <c r="O16"/>
      <c r="T16"/>
      <c r="U16"/>
    </row>
    <row r="17" spans="1:21" x14ac:dyDescent="0.25">
      <c r="A17" s="413" t="s">
        <v>331</v>
      </c>
      <c r="B17" s="414">
        <v>24</v>
      </c>
      <c r="C17" s="414">
        <v>25098</v>
      </c>
      <c r="D17" s="1072">
        <v>127433</v>
      </c>
      <c r="M17" s="7" t="s">
        <v>814</v>
      </c>
      <c r="N17" s="8">
        <v>2894</v>
      </c>
      <c r="O17"/>
      <c r="T17"/>
      <c r="U17"/>
    </row>
    <row r="18" spans="1:21" x14ac:dyDescent="0.25">
      <c r="A18" s="413" t="s">
        <v>14</v>
      </c>
      <c r="B18" s="414">
        <v>1</v>
      </c>
      <c r="C18" s="414">
        <v>85</v>
      </c>
      <c r="D18" s="1072">
        <v>546</v>
      </c>
      <c r="M18" s="7" t="s">
        <v>561</v>
      </c>
      <c r="N18" s="8">
        <v>1377</v>
      </c>
      <c r="O18"/>
      <c r="T18"/>
      <c r="U18"/>
    </row>
    <row r="19" spans="1:21" x14ac:dyDescent="0.25">
      <c r="A19" s="413" t="s">
        <v>13</v>
      </c>
      <c r="B19" s="414">
        <v>5</v>
      </c>
      <c r="C19" s="414">
        <v>5124</v>
      </c>
      <c r="D19" s="1072">
        <v>22299</v>
      </c>
      <c r="M19" s="7" t="s">
        <v>15</v>
      </c>
      <c r="N19" s="8">
        <v>489</v>
      </c>
      <c r="O19"/>
      <c r="T19"/>
      <c r="U19"/>
    </row>
    <row r="20" spans="1:21" x14ac:dyDescent="0.25">
      <c r="A20" s="413" t="s">
        <v>17</v>
      </c>
      <c r="B20" s="414">
        <v>16</v>
      </c>
      <c r="C20" s="414">
        <v>18819</v>
      </c>
      <c r="D20" s="1072">
        <v>100848</v>
      </c>
      <c r="M20" s="7" t="s">
        <v>18</v>
      </c>
      <c r="N20" s="8">
        <v>109</v>
      </c>
      <c r="O20"/>
      <c r="T20"/>
      <c r="U20"/>
    </row>
    <row r="21" spans="1:21" x14ac:dyDescent="0.25">
      <c r="A21" s="413" t="s">
        <v>814</v>
      </c>
      <c r="B21" s="414">
        <v>1</v>
      </c>
      <c r="C21" s="414">
        <v>655</v>
      </c>
      <c r="D21" s="1072">
        <v>2690</v>
      </c>
      <c r="M21" s="7" t="s">
        <v>929</v>
      </c>
      <c r="N21" s="8"/>
      <c r="O21"/>
      <c r="T21"/>
      <c r="U21"/>
    </row>
    <row r="22" spans="1:21" x14ac:dyDescent="0.25">
      <c r="A22" s="413" t="s">
        <v>561</v>
      </c>
      <c r="B22" s="414">
        <v>1</v>
      </c>
      <c r="C22" s="414">
        <v>415</v>
      </c>
      <c r="D22" s="1072">
        <v>1050</v>
      </c>
      <c r="M22" s="7" t="s">
        <v>16</v>
      </c>
      <c r="N22" s="8"/>
      <c r="O22"/>
      <c r="T22"/>
      <c r="U22"/>
    </row>
    <row r="23" spans="1:21" x14ac:dyDescent="0.25">
      <c r="A23" s="413" t="s">
        <v>934</v>
      </c>
      <c r="B23" s="414">
        <v>10</v>
      </c>
      <c r="C23" s="414">
        <v>1157</v>
      </c>
      <c r="D23" s="1072">
        <v>6003</v>
      </c>
      <c r="M23" s="10" t="s">
        <v>204</v>
      </c>
      <c r="N23" s="11">
        <v>148727</v>
      </c>
      <c r="O23"/>
      <c r="T23"/>
      <c r="U23"/>
    </row>
    <row r="24" spans="1:21" x14ac:dyDescent="0.25">
      <c r="A24" s="413" t="s">
        <v>14</v>
      </c>
      <c r="B24" s="414">
        <v>1</v>
      </c>
      <c r="C24" s="414">
        <v>97</v>
      </c>
      <c r="D24" s="1072">
        <v>557</v>
      </c>
      <c r="M24"/>
      <c r="N24"/>
      <c r="O24"/>
      <c r="T24"/>
      <c r="U24"/>
    </row>
    <row r="25" spans="1:21" x14ac:dyDescent="0.25">
      <c r="A25" s="413" t="s">
        <v>13</v>
      </c>
      <c r="B25" s="414">
        <v>1</v>
      </c>
      <c r="C25" s="414">
        <v>21</v>
      </c>
      <c r="D25" s="1072">
        <v>122</v>
      </c>
      <c r="M25"/>
      <c r="N25"/>
      <c r="O25"/>
      <c r="T25"/>
      <c r="U25"/>
    </row>
    <row r="26" spans="1:21" x14ac:dyDescent="0.25">
      <c r="A26" s="413" t="s">
        <v>17</v>
      </c>
      <c r="B26" s="414">
        <v>4</v>
      </c>
      <c r="C26" s="414">
        <v>892</v>
      </c>
      <c r="D26" s="1072">
        <v>4598</v>
      </c>
      <c r="M26"/>
      <c r="N26"/>
      <c r="O26"/>
      <c r="T26"/>
      <c r="U26"/>
    </row>
    <row r="27" spans="1:21" x14ac:dyDescent="0.25">
      <c r="A27" s="413" t="s">
        <v>814</v>
      </c>
      <c r="B27" s="414">
        <v>1</v>
      </c>
      <c r="C27" s="414">
        <v>40</v>
      </c>
      <c r="D27" s="1072">
        <v>204</v>
      </c>
      <c r="M27"/>
      <c r="N27"/>
      <c r="T27"/>
      <c r="U27"/>
    </row>
    <row r="28" spans="1:21" x14ac:dyDescent="0.25">
      <c r="A28" s="413" t="s">
        <v>561</v>
      </c>
      <c r="B28" s="414">
        <v>1</v>
      </c>
      <c r="C28" s="414">
        <v>65</v>
      </c>
      <c r="D28" s="1072">
        <v>327</v>
      </c>
      <c r="M28"/>
      <c r="N28"/>
      <c r="T28"/>
      <c r="U28"/>
    </row>
    <row r="29" spans="1:21" x14ac:dyDescent="0.25">
      <c r="A29" s="413" t="s">
        <v>932</v>
      </c>
      <c r="B29" s="414">
        <v>2</v>
      </c>
      <c r="C29" s="414">
        <v>42</v>
      </c>
      <c r="D29" s="1072">
        <v>195</v>
      </c>
      <c r="T29"/>
      <c r="U29"/>
    </row>
    <row r="30" spans="1:21" x14ac:dyDescent="0.25">
      <c r="A30" s="413" t="s">
        <v>935</v>
      </c>
      <c r="B30" s="414">
        <v>21</v>
      </c>
      <c r="C30" s="414">
        <v>2417</v>
      </c>
      <c r="D30" s="1072">
        <v>15291</v>
      </c>
      <c r="T30"/>
      <c r="U30"/>
    </row>
    <row r="31" spans="1:21" x14ac:dyDescent="0.25">
      <c r="A31" s="413" t="s">
        <v>14</v>
      </c>
      <c r="B31" s="414">
        <v>9</v>
      </c>
      <c r="C31" s="414">
        <v>827</v>
      </c>
      <c r="D31" s="1072">
        <v>5424</v>
      </c>
      <c r="T31"/>
      <c r="U31"/>
    </row>
    <row r="32" spans="1:21" x14ac:dyDescent="0.25">
      <c r="A32" s="413" t="s">
        <v>18</v>
      </c>
      <c r="B32" s="414">
        <v>1</v>
      </c>
      <c r="C32" s="414">
        <v>17</v>
      </c>
      <c r="D32" s="1072">
        <v>109</v>
      </c>
      <c r="T32"/>
      <c r="U32"/>
    </row>
    <row r="33" spans="1:21" x14ac:dyDescent="0.25">
      <c r="A33" s="413" t="s">
        <v>11</v>
      </c>
      <c r="B33" s="414">
        <v>7</v>
      </c>
      <c r="C33" s="414">
        <v>916</v>
      </c>
      <c r="D33" s="1072">
        <v>5638</v>
      </c>
      <c r="T33"/>
      <c r="U33"/>
    </row>
    <row r="34" spans="1:21" x14ac:dyDescent="0.25">
      <c r="A34" s="413" t="s">
        <v>15</v>
      </c>
      <c r="B34" s="414">
        <v>2</v>
      </c>
      <c r="C34" s="414">
        <v>88</v>
      </c>
      <c r="D34" s="1072">
        <v>489</v>
      </c>
      <c r="T34"/>
      <c r="U34"/>
    </row>
    <row r="35" spans="1:21" x14ac:dyDescent="0.25">
      <c r="A35" s="413" t="s">
        <v>932</v>
      </c>
      <c r="B35" s="414">
        <v>2</v>
      </c>
      <c r="C35" s="414">
        <v>569</v>
      </c>
      <c r="D35" s="1072">
        <v>3631</v>
      </c>
      <c r="T35" s="78"/>
      <c r="U35" s="78"/>
    </row>
    <row r="36" spans="1:21" x14ac:dyDescent="0.25">
      <c r="A36" s="1073" t="s">
        <v>204</v>
      </c>
      <c r="B36" s="415">
        <v>107</v>
      </c>
      <c r="C36" s="415">
        <v>28672</v>
      </c>
      <c r="D36" s="1074">
        <v>148727</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13"/>
      <c r="B40" s="414"/>
      <c r="C40" s="414"/>
      <c r="D40" s="414"/>
      <c r="T40" s="78"/>
      <c r="U40" s="78"/>
    </row>
    <row r="41" spans="1:21" x14ac:dyDescent="0.25">
      <c r="A41" s="414"/>
      <c r="B41" s="414"/>
      <c r="C41" s="414"/>
      <c r="D41" s="414"/>
      <c r="T41" s="78"/>
      <c r="U41" s="78"/>
    </row>
    <row r="42" spans="1:21" ht="15.75" x14ac:dyDescent="0.25">
      <c r="A42" s="657" t="s">
        <v>998</v>
      </c>
      <c r="B42" s="415"/>
      <c r="C42" s="414"/>
      <c r="D42" s="414"/>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117028</v>
      </c>
      <c r="C47" s="233">
        <v>10405</v>
      </c>
      <c r="D47" s="326">
        <v>127433</v>
      </c>
      <c r="E47"/>
      <c r="L47"/>
      <c r="M47"/>
      <c r="T47"/>
      <c r="U47"/>
    </row>
    <row r="48" spans="1:21" ht="15.75" x14ac:dyDescent="0.25">
      <c r="G48" s="655" t="s">
        <v>956</v>
      </c>
      <c r="L48"/>
      <c r="M48"/>
      <c r="T48"/>
      <c r="U48"/>
    </row>
    <row r="49" spans="1:21" ht="15.75" x14ac:dyDescent="0.25">
      <c r="A49" s="656" t="s">
        <v>999</v>
      </c>
      <c r="G49" s="331" t="s">
        <v>329</v>
      </c>
      <c r="H49" s="167" t="s">
        <v>331</v>
      </c>
      <c r="L49"/>
      <c r="M49"/>
      <c r="T49"/>
      <c r="U49"/>
    </row>
    <row r="50" spans="1:21" x14ac:dyDescent="0.25">
      <c r="A50" s="170" t="s">
        <v>329</v>
      </c>
      <c r="B50" s="646"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925</v>
      </c>
      <c r="D53" s="153" t="s">
        <v>204</v>
      </c>
      <c r="E53"/>
      <c r="F53"/>
      <c r="G53" s="334" t="s">
        <v>273</v>
      </c>
      <c r="H53" s="46">
        <v>63033</v>
      </c>
      <c r="I53" s="46"/>
      <c r="J53" s="335">
        <v>63033</v>
      </c>
      <c r="L53"/>
      <c r="T53"/>
      <c r="U53"/>
    </row>
    <row r="54" spans="1:21" x14ac:dyDescent="0.25">
      <c r="A54" s="155" t="s">
        <v>491</v>
      </c>
      <c r="B54" s="233">
        <v>2845</v>
      </c>
      <c r="C54" s="233">
        <v>124588</v>
      </c>
      <c r="D54" s="326">
        <v>127433</v>
      </c>
      <c r="E54"/>
      <c r="F54"/>
      <c r="G54" s="334" t="s">
        <v>575</v>
      </c>
      <c r="H54" s="46">
        <v>44699</v>
      </c>
      <c r="I54" s="46"/>
      <c r="J54" s="335">
        <v>44699</v>
      </c>
      <c r="L54"/>
      <c r="T54"/>
      <c r="U54"/>
    </row>
    <row r="55" spans="1:21" x14ac:dyDescent="0.25">
      <c r="G55" s="334" t="s">
        <v>904</v>
      </c>
      <c r="H55" s="46">
        <v>9296</v>
      </c>
      <c r="I55" s="46"/>
      <c r="J55" s="335">
        <v>9296</v>
      </c>
      <c r="T55"/>
      <c r="U55"/>
    </row>
    <row r="56" spans="1:21" x14ac:dyDescent="0.25">
      <c r="G56" s="334" t="s">
        <v>270</v>
      </c>
      <c r="H56" s="46"/>
      <c r="I56" s="46">
        <v>7715</v>
      </c>
      <c r="J56" s="335">
        <v>7715</v>
      </c>
      <c r="T56"/>
      <c r="U56"/>
    </row>
    <row r="57" spans="1:21" x14ac:dyDescent="0.25">
      <c r="G57" s="334" t="s">
        <v>658</v>
      </c>
      <c r="H57" s="46"/>
      <c r="I57" s="46">
        <v>2690</v>
      </c>
      <c r="J57" s="335">
        <v>2690</v>
      </c>
      <c r="T57"/>
      <c r="U57"/>
    </row>
    <row r="58" spans="1:21" customFormat="1" x14ac:dyDescent="0.25">
      <c r="A58" s="6"/>
      <c r="B58" s="6"/>
      <c r="C58" s="6"/>
      <c r="D58" s="6"/>
      <c r="E58" s="6"/>
      <c r="F58" s="6"/>
      <c r="G58" s="336" t="s">
        <v>204</v>
      </c>
      <c r="H58" s="233">
        <v>117028</v>
      </c>
      <c r="I58" s="233">
        <v>10405</v>
      </c>
      <c r="J58" s="326">
        <v>127433</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55" t="s">
        <v>931</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46" t="s">
        <v>331</v>
      </c>
      <c r="C62" s="6"/>
      <c r="D62" s="6"/>
      <c r="E62" s="6"/>
      <c r="F62" s="6"/>
      <c r="G62" s="6"/>
      <c r="H62" s="6"/>
      <c r="I62" s="6"/>
      <c r="J62" s="6"/>
      <c r="K62" s="6"/>
      <c r="L62" s="6"/>
      <c r="M62" s="6"/>
      <c r="N62" s="6"/>
      <c r="O62" s="6"/>
      <c r="P62" s="6"/>
      <c r="Q62" s="6"/>
      <c r="R62" s="6"/>
    </row>
    <row r="63" spans="1:21" customFormat="1" x14ac:dyDescent="0.25">
      <c r="A63" s="170" t="s">
        <v>22</v>
      </c>
      <c r="B63" s="646"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925</v>
      </c>
      <c r="D66" s="153" t="s">
        <v>204</v>
      </c>
      <c r="G66" s="6"/>
      <c r="H66" s="6"/>
      <c r="I66" s="6"/>
      <c r="J66" s="6"/>
      <c r="K66" s="6"/>
      <c r="L66" s="6"/>
      <c r="M66" s="6"/>
      <c r="N66" s="6"/>
      <c r="O66" s="6"/>
      <c r="P66" s="6"/>
      <c r="Q66" s="6"/>
      <c r="R66" s="6"/>
    </row>
    <row r="67" spans="1:33" x14ac:dyDescent="0.25">
      <c r="A67" s="334" t="s">
        <v>13</v>
      </c>
      <c r="B67" s="647">
        <v>2845</v>
      </c>
      <c r="C67" s="647">
        <v>14789</v>
      </c>
      <c r="D67" s="339">
        <v>17634</v>
      </c>
      <c r="E67"/>
      <c r="F67"/>
      <c r="S67"/>
      <c r="T67" s="78"/>
      <c r="U67"/>
      <c r="V67"/>
      <c r="W67"/>
      <c r="X67"/>
      <c r="Y67"/>
      <c r="Z67"/>
      <c r="AA67"/>
      <c r="AB67"/>
      <c r="AC67"/>
      <c r="AD67"/>
      <c r="AE67"/>
      <c r="AF67"/>
      <c r="AG67"/>
    </row>
    <row r="68" spans="1:33" x14ac:dyDescent="0.25">
      <c r="A68" s="340" t="s">
        <v>38</v>
      </c>
      <c r="B68" s="647"/>
      <c r="C68" s="647">
        <v>4726</v>
      </c>
      <c r="D68" s="339">
        <v>4726</v>
      </c>
      <c r="E68"/>
      <c r="F68"/>
      <c r="S68" s="4"/>
      <c r="T68" s="4"/>
      <c r="U68"/>
    </row>
    <row r="69" spans="1:33" x14ac:dyDescent="0.25">
      <c r="A69" s="340" t="s">
        <v>40</v>
      </c>
      <c r="B69" s="647"/>
      <c r="C69" s="647">
        <v>5945</v>
      </c>
      <c r="D69" s="339">
        <v>5945</v>
      </c>
      <c r="E69"/>
      <c r="F69"/>
      <c r="T69"/>
      <c r="U69"/>
    </row>
    <row r="70" spans="1:33" x14ac:dyDescent="0.25">
      <c r="A70" s="340" t="s">
        <v>41</v>
      </c>
      <c r="B70" s="647">
        <v>2845</v>
      </c>
      <c r="C70" s="647"/>
      <c r="D70" s="339">
        <v>2845</v>
      </c>
      <c r="E70"/>
      <c r="F70"/>
      <c r="T70"/>
      <c r="U70"/>
    </row>
    <row r="71" spans="1:33" x14ac:dyDescent="0.25">
      <c r="A71" s="340" t="s">
        <v>982</v>
      </c>
      <c r="B71" s="647"/>
      <c r="C71" s="647">
        <v>4118</v>
      </c>
      <c r="D71" s="339">
        <v>4118</v>
      </c>
      <c r="E71"/>
      <c r="F71"/>
      <c r="T71"/>
      <c r="U71"/>
    </row>
    <row r="72" spans="1:33" x14ac:dyDescent="0.25">
      <c r="A72" s="334" t="s">
        <v>17</v>
      </c>
      <c r="B72" s="647"/>
      <c r="C72" s="647">
        <v>94729</v>
      </c>
      <c r="D72" s="339">
        <v>94729</v>
      </c>
      <c r="E72"/>
      <c r="F72"/>
      <c r="T72"/>
      <c r="U72"/>
    </row>
    <row r="73" spans="1:33" x14ac:dyDescent="0.25">
      <c r="A73" s="340" t="s">
        <v>59</v>
      </c>
      <c r="B73" s="647"/>
      <c r="C73" s="647">
        <v>2267</v>
      </c>
      <c r="D73" s="339">
        <v>2267</v>
      </c>
      <c r="E73"/>
      <c r="F73"/>
      <c r="T73"/>
      <c r="U73"/>
    </row>
    <row r="74" spans="1:33" x14ac:dyDescent="0.25">
      <c r="A74" s="340" t="s">
        <v>581</v>
      </c>
      <c r="B74" s="647"/>
      <c r="C74" s="647">
        <v>4757</v>
      </c>
      <c r="D74" s="339">
        <v>4757</v>
      </c>
      <c r="E74"/>
      <c r="F74"/>
      <c r="T74"/>
      <c r="U74"/>
    </row>
    <row r="75" spans="1:33" x14ac:dyDescent="0.25">
      <c r="A75" s="340" t="s">
        <v>582</v>
      </c>
      <c r="B75" s="647"/>
      <c r="C75" s="647">
        <v>6611</v>
      </c>
      <c r="D75" s="339">
        <v>6611</v>
      </c>
      <c r="E75"/>
      <c r="F75"/>
      <c r="T75"/>
      <c r="U75"/>
    </row>
    <row r="76" spans="1:33" x14ac:dyDescent="0.25">
      <c r="A76" s="340" t="s">
        <v>61</v>
      </c>
      <c r="B76" s="647"/>
      <c r="C76" s="647">
        <v>11363</v>
      </c>
      <c r="D76" s="339">
        <v>11363</v>
      </c>
      <c r="E76"/>
      <c r="F76"/>
      <c r="T76"/>
      <c r="U76"/>
    </row>
    <row r="77" spans="1:33" x14ac:dyDescent="0.25">
      <c r="A77" s="340" t="s">
        <v>580</v>
      </c>
      <c r="B77" s="647"/>
      <c r="C77" s="647">
        <v>3370</v>
      </c>
      <c r="D77" s="339">
        <v>3370</v>
      </c>
      <c r="E77"/>
      <c r="F77"/>
      <c r="T77"/>
      <c r="U77"/>
    </row>
    <row r="78" spans="1:33" x14ac:dyDescent="0.25">
      <c r="A78" s="340" t="s">
        <v>585</v>
      </c>
      <c r="B78" s="647"/>
      <c r="C78" s="647">
        <v>4007</v>
      </c>
      <c r="D78" s="339">
        <v>4007</v>
      </c>
      <c r="E78"/>
      <c r="F78"/>
      <c r="T78"/>
      <c r="U78"/>
    </row>
    <row r="79" spans="1:33" x14ac:dyDescent="0.25">
      <c r="A79" s="340" t="s">
        <v>586</v>
      </c>
      <c r="B79" s="647"/>
      <c r="C79" s="647">
        <v>13794</v>
      </c>
      <c r="D79" s="339">
        <v>13794</v>
      </c>
      <c r="E79"/>
      <c r="F79"/>
    </row>
    <row r="80" spans="1:33" x14ac:dyDescent="0.25">
      <c r="A80" s="340" t="s">
        <v>587</v>
      </c>
      <c r="B80" s="647"/>
      <c r="C80" s="647">
        <v>11322</v>
      </c>
      <c r="D80" s="339">
        <v>11322</v>
      </c>
      <c r="E80"/>
      <c r="F80"/>
    </row>
    <row r="81" spans="1:6" x14ac:dyDescent="0.25">
      <c r="A81" s="340" t="s">
        <v>65</v>
      </c>
      <c r="B81" s="647"/>
      <c r="C81" s="647">
        <v>13711</v>
      </c>
      <c r="D81" s="339">
        <v>13711</v>
      </c>
      <c r="E81"/>
      <c r="F81"/>
    </row>
    <row r="82" spans="1:6" x14ac:dyDescent="0.25">
      <c r="A82" s="340" t="s">
        <v>66</v>
      </c>
      <c r="B82" s="647"/>
      <c r="C82" s="647">
        <v>13072</v>
      </c>
      <c r="D82" s="339">
        <v>13072</v>
      </c>
      <c r="E82"/>
      <c r="F82"/>
    </row>
    <row r="83" spans="1:6" x14ac:dyDescent="0.25">
      <c r="A83" s="340" t="s">
        <v>68</v>
      </c>
      <c r="B83" s="647"/>
      <c r="C83" s="647">
        <v>5926</v>
      </c>
      <c r="D83" s="339">
        <v>5926</v>
      </c>
      <c r="E83"/>
      <c r="F83"/>
    </row>
    <row r="84" spans="1:6" x14ac:dyDescent="0.25">
      <c r="A84" s="340" t="s">
        <v>1054</v>
      </c>
      <c r="B84" s="647"/>
      <c r="C84" s="647">
        <v>2306</v>
      </c>
      <c r="D84" s="339">
        <v>2306</v>
      </c>
      <c r="E84"/>
      <c r="F84"/>
    </row>
    <row r="85" spans="1:6" ht="14.25" customHeight="1" x14ac:dyDescent="0.25">
      <c r="A85" s="340" t="s">
        <v>1055</v>
      </c>
      <c r="B85" s="647"/>
      <c r="C85" s="647">
        <v>2223</v>
      </c>
      <c r="D85" s="339">
        <v>2223</v>
      </c>
      <c r="E85"/>
      <c r="F85"/>
    </row>
    <row r="86" spans="1:6" ht="12" customHeight="1" x14ac:dyDescent="0.25">
      <c r="A86" s="334" t="s">
        <v>814</v>
      </c>
      <c r="B86" s="647"/>
      <c r="C86" s="647">
        <v>2690</v>
      </c>
      <c r="D86" s="339">
        <v>2690</v>
      </c>
      <c r="E86"/>
      <c r="F86"/>
    </row>
    <row r="87" spans="1:6" x14ac:dyDescent="0.25">
      <c r="A87" s="340" t="s">
        <v>36</v>
      </c>
      <c r="B87" s="647"/>
      <c r="C87" s="647">
        <v>2690</v>
      </c>
      <c r="D87" s="339">
        <v>2690</v>
      </c>
      <c r="E87"/>
      <c r="F87"/>
    </row>
    <row r="88" spans="1:6" x14ac:dyDescent="0.25">
      <c r="A88" s="336" t="s">
        <v>204</v>
      </c>
      <c r="B88" s="327">
        <v>2845</v>
      </c>
      <c r="C88" s="327">
        <v>112208</v>
      </c>
      <c r="D88" s="341">
        <v>115053</v>
      </c>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929</v>
      </c>
      <c r="C99" s="1" t="s">
        <v>930</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47">
        <v>546</v>
      </c>
      <c r="C101" s="647">
        <v>546</v>
      </c>
      <c r="D101" s="339">
        <v>546</v>
      </c>
      <c r="E101"/>
      <c r="F101"/>
      <c r="G101"/>
      <c r="H101"/>
      <c r="I101"/>
    </row>
    <row r="102" spans="1:9" hidden="1" x14ac:dyDescent="0.25">
      <c r="A102" s="340" t="s">
        <v>45</v>
      </c>
      <c r="B102" s="647">
        <v>546</v>
      </c>
      <c r="C102" s="647">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929</v>
      </c>
      <c r="D138" s="1"/>
      <c r="E138" s="1"/>
      <c r="F138" s="1" t="s">
        <v>930</v>
      </c>
      <c r="G138" s="153" t="s">
        <v>204</v>
      </c>
      <c r="H138"/>
      <c r="I138"/>
      <c r="J138"/>
      <c r="K138"/>
      <c r="L138"/>
    </row>
    <row r="139" spans="1:12" x14ac:dyDescent="0.25">
      <c r="A139" s="333" t="s">
        <v>0</v>
      </c>
      <c r="B139" s="250" t="s">
        <v>9</v>
      </c>
      <c r="C139" s="1" t="s">
        <v>20</v>
      </c>
      <c r="D139" s="1" t="s">
        <v>21</v>
      </c>
      <c r="E139" s="1" t="s">
        <v>756</v>
      </c>
      <c r="F139" s="1"/>
      <c r="G139" s="153"/>
      <c r="H139"/>
      <c r="I139"/>
      <c r="J139"/>
      <c r="K139"/>
      <c r="L139"/>
    </row>
    <row r="140" spans="1:12" x14ac:dyDescent="0.25">
      <c r="A140" s="146" t="s">
        <v>14</v>
      </c>
      <c r="B140" s="1" t="s">
        <v>45</v>
      </c>
      <c r="C140" s="647"/>
      <c r="D140" s="647">
        <v>546</v>
      </c>
      <c r="E140" s="647"/>
      <c r="F140" s="647">
        <v>546</v>
      </c>
      <c r="G140" s="339">
        <v>546</v>
      </c>
      <c r="H140"/>
      <c r="I140"/>
      <c r="J140"/>
      <c r="K140"/>
      <c r="L140"/>
    </row>
    <row r="141" spans="1:12" x14ac:dyDescent="0.25">
      <c r="A141" s="146" t="s">
        <v>911</v>
      </c>
      <c r="B141" s="1"/>
      <c r="C141" s="647"/>
      <c r="D141" s="647">
        <v>546</v>
      </c>
      <c r="E141" s="647"/>
      <c r="F141" s="647">
        <v>546</v>
      </c>
      <c r="G141" s="339">
        <v>546</v>
      </c>
      <c r="H141"/>
      <c r="I141"/>
      <c r="J141"/>
      <c r="K141"/>
      <c r="L141"/>
    </row>
    <row r="142" spans="1:12" x14ac:dyDescent="0.25">
      <c r="A142" s="146" t="s">
        <v>17</v>
      </c>
      <c r="B142" s="1" t="s">
        <v>509</v>
      </c>
      <c r="C142" s="647"/>
      <c r="D142" s="647"/>
      <c r="E142" s="647">
        <v>226</v>
      </c>
      <c r="F142" s="647">
        <v>226</v>
      </c>
      <c r="G142" s="339">
        <v>226</v>
      </c>
      <c r="H142"/>
      <c r="I142"/>
      <c r="J142"/>
      <c r="K142"/>
      <c r="L142"/>
    </row>
    <row r="143" spans="1:12" x14ac:dyDescent="0.25">
      <c r="A143" s="146"/>
      <c r="B143" s="1" t="s">
        <v>497</v>
      </c>
      <c r="C143" s="647"/>
      <c r="D143" s="647"/>
      <c r="E143" s="647">
        <v>2942</v>
      </c>
      <c r="F143" s="647">
        <v>2942</v>
      </c>
      <c r="G143" s="339">
        <v>2942</v>
      </c>
      <c r="H143"/>
      <c r="I143"/>
      <c r="J143"/>
      <c r="K143"/>
      <c r="L143"/>
    </row>
    <row r="144" spans="1:12" x14ac:dyDescent="0.25">
      <c r="A144" s="146"/>
      <c r="B144" s="1" t="s">
        <v>499</v>
      </c>
      <c r="C144" s="647"/>
      <c r="D144" s="647"/>
      <c r="E144" s="647">
        <v>2951</v>
      </c>
      <c r="F144" s="647">
        <v>2951</v>
      </c>
      <c r="G144" s="339">
        <v>2951</v>
      </c>
      <c r="H144"/>
      <c r="I144"/>
      <c r="J144"/>
      <c r="K144"/>
      <c r="L144"/>
    </row>
    <row r="145" spans="1:12" x14ac:dyDescent="0.25">
      <c r="A145" s="146" t="s">
        <v>596</v>
      </c>
      <c r="B145" s="1"/>
      <c r="C145" s="647"/>
      <c r="D145" s="647"/>
      <c r="E145" s="647">
        <v>6119</v>
      </c>
      <c r="F145" s="647">
        <v>6119</v>
      </c>
      <c r="G145" s="339">
        <v>6119</v>
      </c>
      <c r="H145"/>
      <c r="I145"/>
      <c r="J145"/>
      <c r="K145"/>
      <c r="L145"/>
    </row>
    <row r="146" spans="1:12" x14ac:dyDescent="0.25">
      <c r="A146" s="146" t="s">
        <v>561</v>
      </c>
      <c r="B146" s="1" t="s">
        <v>56</v>
      </c>
      <c r="C146" s="647">
        <v>1050</v>
      </c>
      <c r="D146" s="647"/>
      <c r="E146" s="647"/>
      <c r="F146" s="647">
        <v>1050</v>
      </c>
      <c r="G146" s="339">
        <v>1050</v>
      </c>
      <c r="H146"/>
      <c r="I146"/>
      <c r="J146"/>
      <c r="K146"/>
      <c r="L146"/>
    </row>
    <row r="147" spans="1:12" x14ac:dyDescent="0.25">
      <c r="A147" s="146" t="s">
        <v>933</v>
      </c>
      <c r="B147" s="1"/>
      <c r="C147" s="647">
        <v>1050</v>
      </c>
      <c r="D147" s="647"/>
      <c r="E147" s="647"/>
      <c r="F147" s="647">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45" t="s">
        <v>331</v>
      </c>
    </row>
    <row r="169" spans="1:12" x14ac:dyDescent="0.25">
      <c r="A169"/>
      <c r="B169"/>
      <c r="C169"/>
      <c r="D169"/>
      <c r="E169"/>
      <c r="F169"/>
      <c r="G169"/>
      <c r="H169"/>
      <c r="I169"/>
      <c r="J169"/>
      <c r="K169"/>
      <c r="L169"/>
    </row>
    <row r="170" spans="1:12" x14ac:dyDescent="0.25">
      <c r="A170" s="39" t="s">
        <v>912</v>
      </c>
      <c r="B170" s="39" t="s">
        <v>616</v>
      </c>
      <c r="C170"/>
      <c r="D170"/>
      <c r="E170"/>
      <c r="F170"/>
      <c r="G170"/>
      <c r="H170"/>
      <c r="I170"/>
      <c r="J170"/>
      <c r="K170"/>
      <c r="L170"/>
    </row>
    <row r="171" spans="1:12" x14ac:dyDescent="0.25">
      <c r="A171" s="39" t="s">
        <v>1</v>
      </c>
      <c r="B171" s="645" t="s">
        <v>756</v>
      </c>
      <c r="C171" s="645" t="s">
        <v>20</v>
      </c>
      <c r="D171" s="645" t="s">
        <v>21</v>
      </c>
      <c r="E171" s="645" t="s">
        <v>920</v>
      </c>
      <c r="F171" s="645"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814</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12</v>
      </c>
      <c r="D175" s="4">
        <v>1</v>
      </c>
      <c r="E175" s="4"/>
      <c r="F175" s="4">
        <v>16</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18</v>
      </c>
      <c r="D177" s="4">
        <v>2</v>
      </c>
      <c r="E177" s="4">
        <v>1</v>
      </c>
      <c r="F177" s="4">
        <v>24</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45"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45" t="s">
        <v>756</v>
      </c>
      <c r="C187" s="645" t="s">
        <v>20</v>
      </c>
      <c r="D187" s="645" t="s">
        <v>21</v>
      </c>
      <c r="E187" s="645" t="s">
        <v>920</v>
      </c>
      <c r="F187" s="645" t="s">
        <v>204</v>
      </c>
    </row>
    <row r="188" spans="1:10" x14ac:dyDescent="0.25">
      <c r="A188" s="20" t="s">
        <v>14</v>
      </c>
      <c r="B188" s="4"/>
      <c r="C188" s="4"/>
      <c r="D188" s="4">
        <v>546</v>
      </c>
      <c r="E188" s="4"/>
      <c r="F188" s="4">
        <v>546</v>
      </c>
    </row>
    <row r="189" spans="1:10" x14ac:dyDescent="0.25">
      <c r="A189" s="20" t="s">
        <v>814</v>
      </c>
      <c r="B189" s="4"/>
      <c r="C189" s="4">
        <v>2690</v>
      </c>
      <c r="D189" s="4"/>
      <c r="E189" s="4"/>
      <c r="F189" s="4">
        <v>2690</v>
      </c>
    </row>
    <row r="190" spans="1:10" x14ac:dyDescent="0.25">
      <c r="A190" s="20" t="s">
        <v>13</v>
      </c>
      <c r="B190" s="4"/>
      <c r="C190" s="4">
        <v>17634</v>
      </c>
      <c r="D190" s="4"/>
      <c r="E190" s="4">
        <v>4665</v>
      </c>
      <c r="F190" s="4">
        <v>22299</v>
      </c>
    </row>
    <row r="191" spans="1:10" x14ac:dyDescent="0.25">
      <c r="A191" s="20" t="s">
        <v>17</v>
      </c>
      <c r="B191" s="4">
        <v>6119</v>
      </c>
      <c r="C191" s="4">
        <v>81657</v>
      </c>
      <c r="D191" s="4">
        <v>13072</v>
      </c>
      <c r="E191" s="4"/>
      <c r="F191" s="4">
        <v>100848</v>
      </c>
    </row>
    <row r="192" spans="1:10" x14ac:dyDescent="0.25">
      <c r="A192" s="20" t="s">
        <v>561</v>
      </c>
      <c r="B192" s="4"/>
      <c r="C192" s="4">
        <v>1050</v>
      </c>
      <c r="D192" s="4"/>
      <c r="E192" s="4"/>
      <c r="F192" s="4">
        <v>1050</v>
      </c>
    </row>
    <row r="193" spans="1:6" x14ac:dyDescent="0.25">
      <c r="A193" s="20" t="s">
        <v>204</v>
      </c>
      <c r="B193" s="4">
        <v>6119</v>
      </c>
      <c r="C193" s="4">
        <v>103031</v>
      </c>
      <c r="D193" s="4">
        <v>13618</v>
      </c>
      <c r="E193" s="4">
        <v>4665</v>
      </c>
      <c r="F193" s="4">
        <v>127433</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45" t="s">
        <v>331</v>
      </c>
      <c r="C198"/>
      <c r="D198"/>
      <c r="E198"/>
      <c r="F198"/>
    </row>
    <row r="199" spans="1:6" x14ac:dyDescent="0.25">
      <c r="A199"/>
      <c r="B199"/>
      <c r="C199"/>
      <c r="D199"/>
      <c r="E199"/>
      <c r="F199"/>
    </row>
    <row r="200" spans="1:6" x14ac:dyDescent="0.25">
      <c r="A200" s="39" t="s">
        <v>1</v>
      </c>
      <c r="B200" s="645" t="s">
        <v>918</v>
      </c>
      <c r="C200" s="645" t="s">
        <v>919</v>
      </c>
      <c r="D200" s="645" t="s">
        <v>206</v>
      </c>
      <c r="E200"/>
      <c r="F200"/>
    </row>
    <row r="201" spans="1:6" x14ac:dyDescent="0.25">
      <c r="A201" s="20" t="s">
        <v>14</v>
      </c>
      <c r="B201" s="4">
        <v>1</v>
      </c>
      <c r="C201" s="4">
        <v>85</v>
      </c>
      <c r="D201" s="4">
        <v>546</v>
      </c>
      <c r="E201"/>
      <c r="F201"/>
    </row>
    <row r="202" spans="1:6" x14ac:dyDescent="0.25">
      <c r="A202" s="20" t="s">
        <v>814</v>
      </c>
      <c r="B202" s="4">
        <v>1</v>
      </c>
      <c r="C202" s="4">
        <v>655</v>
      </c>
      <c r="D202" s="4">
        <v>2690</v>
      </c>
      <c r="E202"/>
      <c r="F202"/>
    </row>
    <row r="203" spans="1:6" x14ac:dyDescent="0.25">
      <c r="A203" s="20" t="s">
        <v>13</v>
      </c>
      <c r="B203" s="4">
        <v>5</v>
      </c>
      <c r="C203" s="4">
        <v>5124</v>
      </c>
      <c r="D203" s="4">
        <v>22299</v>
      </c>
      <c r="E203"/>
      <c r="F203"/>
    </row>
    <row r="204" spans="1:6" x14ac:dyDescent="0.25">
      <c r="A204" s="20" t="s">
        <v>17</v>
      </c>
      <c r="B204" s="4">
        <v>16</v>
      </c>
      <c r="C204" s="4">
        <v>18819</v>
      </c>
      <c r="D204" s="4">
        <v>100848</v>
      </c>
      <c r="E204"/>
      <c r="F204"/>
    </row>
    <row r="205" spans="1:6" x14ac:dyDescent="0.25">
      <c r="A205" s="20" t="s">
        <v>561</v>
      </c>
      <c r="B205" s="4">
        <v>1</v>
      </c>
      <c r="C205" s="4">
        <v>415</v>
      </c>
      <c r="D205" s="4">
        <v>1050</v>
      </c>
      <c r="E205"/>
      <c r="F205"/>
    </row>
    <row r="206" spans="1:6" x14ac:dyDescent="0.25">
      <c r="A206" s="20" t="s">
        <v>204</v>
      </c>
      <c r="B206" s="4">
        <v>24</v>
      </c>
      <c r="C206" s="4">
        <v>25098</v>
      </c>
      <c r="D206" s="4">
        <v>127433</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814</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53"/>
  <sheetViews>
    <sheetView zoomScale="80" zoomScaleNormal="80" workbookViewId="0">
      <selection activeCell="H239" sqref="H239"/>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14.140625" style="78" customWidth="1"/>
    <col min="13" max="13" width="16.7109375" style="78" customWidth="1"/>
    <col min="14" max="14" width="7.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74" t="s">
        <v>1111</v>
      </c>
      <c r="B1" s="874"/>
      <c r="C1" s="874"/>
      <c r="D1" s="13"/>
      <c r="H1" s="78"/>
    </row>
    <row r="2" spans="1:44" x14ac:dyDescent="0.25">
      <c r="H2" s="78"/>
    </row>
    <row r="3" spans="1:44" ht="22.15" customHeight="1" x14ac:dyDescent="0.25">
      <c r="A3" s="481" t="s">
        <v>10</v>
      </c>
      <c r="B3" s="454" t="s">
        <v>1</v>
      </c>
      <c r="C3" s="454" t="s">
        <v>492</v>
      </c>
      <c r="D3" s="454" t="s">
        <v>521</v>
      </c>
      <c r="E3" s="454" t="s">
        <v>679</v>
      </c>
      <c r="F3" s="482" t="s">
        <v>678</v>
      </c>
      <c r="G3" s="483" t="s">
        <v>5</v>
      </c>
      <c r="H3" s="454" t="s">
        <v>682</v>
      </c>
      <c r="I3" s="484" t="s">
        <v>323</v>
      </c>
      <c r="J3" s="485" t="s">
        <v>817</v>
      </c>
      <c r="L3" s="170" t="s">
        <v>491</v>
      </c>
      <c r="M3" s="170" t="s">
        <v>616</v>
      </c>
      <c r="N3" s="646"/>
      <c r="O3" s="400"/>
      <c r="P3" s="644"/>
      <c r="Q3" s="644"/>
      <c r="R3" s="644"/>
      <c r="S3" s="644"/>
      <c r="T3" s="644"/>
      <c r="U3" s="644"/>
      <c r="V3" s="644"/>
      <c r="W3" s="644"/>
      <c r="X3" s="644"/>
      <c r="Y3" s="644"/>
      <c r="Z3" s="644"/>
      <c r="AA3" s="644"/>
      <c r="AB3" s="644"/>
      <c r="AC3" s="644"/>
      <c r="AD3" s="644"/>
      <c r="AE3" s="167"/>
      <c r="AF3"/>
      <c r="AG3"/>
      <c r="AH3"/>
      <c r="AI3"/>
      <c r="AJ3"/>
      <c r="AK3"/>
      <c r="AL3"/>
      <c r="AM3"/>
      <c r="AN3"/>
      <c r="AO3"/>
      <c r="AP3"/>
      <c r="AQ3"/>
    </row>
    <row r="4" spans="1:44" s="645" customFormat="1" ht="15" customHeight="1" x14ac:dyDescent="0.25">
      <c r="A4" s="387" t="s">
        <v>7</v>
      </c>
      <c r="B4" s="388" t="s">
        <v>13</v>
      </c>
      <c r="C4" s="130" t="s">
        <v>38</v>
      </c>
      <c r="D4" s="323" t="str">
        <f ca="1">IFERROR(OFFSET(Camp_List[P_Code],MATCH(Data_Demography_t[[#This Row],[Camp]],Camp_List[Camp Name],0)-1,0,1,1),"")</f>
        <v>MMR012CMP016</v>
      </c>
      <c r="E4" s="389" t="s">
        <v>1038</v>
      </c>
      <c r="F4" s="390" t="s">
        <v>676</v>
      </c>
      <c r="G4" s="272">
        <v>530</v>
      </c>
      <c r="H4" s="130">
        <f t="shared" ref="H4:H79" si="0">IF(F4="M",-G4,G4)</f>
        <v>-530</v>
      </c>
      <c r="I4" s="130" t="s">
        <v>575</v>
      </c>
      <c r="J4" s="674">
        <v>43373</v>
      </c>
      <c r="K4" s="268"/>
      <c r="L4" s="146"/>
      <c r="M4" s="153" t="s">
        <v>1038</v>
      </c>
      <c r="N4" s="705"/>
      <c r="O4" s="650" t="s">
        <v>1039</v>
      </c>
      <c r="P4" s="153" t="s">
        <v>828</v>
      </c>
      <c r="Q4" s="705"/>
      <c r="R4" s="650" t="s">
        <v>832</v>
      </c>
      <c r="S4" s="153" t="s">
        <v>607</v>
      </c>
      <c r="T4" s="705"/>
      <c r="U4" s="706" t="s">
        <v>681</v>
      </c>
      <c r="V4" s="153" t="s">
        <v>829</v>
      </c>
      <c r="W4" s="705"/>
      <c r="X4" s="650" t="s">
        <v>833</v>
      </c>
      <c r="Y4" s="153" t="s">
        <v>830</v>
      </c>
      <c r="Z4" s="705"/>
      <c r="AA4" s="650" t="s">
        <v>834</v>
      </c>
      <c r="AB4" s="153" t="s">
        <v>806</v>
      </c>
      <c r="AC4" s="705"/>
      <c r="AD4" s="650" t="s">
        <v>835</v>
      </c>
      <c r="AE4" s="706" t="s">
        <v>204</v>
      </c>
      <c r="AF4"/>
      <c r="AG4"/>
      <c r="AH4"/>
      <c r="AI4"/>
      <c r="AJ4"/>
      <c r="AK4"/>
      <c r="AL4"/>
      <c r="AM4"/>
      <c r="AN4"/>
      <c r="AO4"/>
      <c r="AP4"/>
      <c r="AQ4"/>
    </row>
    <row r="5" spans="1:44" s="645" customFormat="1" ht="15" customHeight="1" x14ac:dyDescent="0.25">
      <c r="A5" s="387" t="s">
        <v>7</v>
      </c>
      <c r="B5" s="388" t="s">
        <v>13</v>
      </c>
      <c r="C5" s="130" t="s">
        <v>38</v>
      </c>
      <c r="D5" s="323" t="str">
        <f ca="1">IFERROR(OFFSET(Camp_List[P_Code],MATCH(Data_Demography_t[[#This Row],[Camp]],Camp_List[Camp Name],0)-1,0,1,1),"")</f>
        <v>MMR012CMP016</v>
      </c>
      <c r="E5" s="389" t="s">
        <v>1038</v>
      </c>
      <c r="F5" s="390" t="s">
        <v>677</v>
      </c>
      <c r="G5" s="272">
        <v>467</v>
      </c>
      <c r="H5" s="130">
        <f t="shared" si="0"/>
        <v>467</v>
      </c>
      <c r="I5" s="130" t="s">
        <v>575</v>
      </c>
      <c r="J5" s="674">
        <v>43373</v>
      </c>
      <c r="K5" s="268"/>
      <c r="L5" s="244" t="s">
        <v>203</v>
      </c>
      <c r="M5" s="1" t="s">
        <v>677</v>
      </c>
      <c r="N5" s="1" t="s">
        <v>676</v>
      </c>
      <c r="O5" s="173"/>
      <c r="P5" s="153" t="s">
        <v>677</v>
      </c>
      <c r="Q5" s="705" t="s">
        <v>676</v>
      </c>
      <c r="R5" s="173"/>
      <c r="S5" s="707" t="s">
        <v>677</v>
      </c>
      <c r="T5" s="643" t="s">
        <v>676</v>
      </c>
      <c r="U5" s="403"/>
      <c r="V5" s="153" t="s">
        <v>677</v>
      </c>
      <c r="W5" s="705" t="s">
        <v>676</v>
      </c>
      <c r="X5" s="173"/>
      <c r="Y5" s="153" t="s">
        <v>677</v>
      </c>
      <c r="Z5" s="705" t="s">
        <v>676</v>
      </c>
      <c r="AA5" s="173"/>
      <c r="AB5" s="153" t="s">
        <v>677</v>
      </c>
      <c r="AC5" s="705" t="s">
        <v>676</v>
      </c>
      <c r="AD5" s="173"/>
      <c r="AE5" s="403"/>
      <c r="AF5"/>
      <c r="AG5"/>
      <c r="AH5"/>
      <c r="AI5"/>
      <c r="AJ5"/>
      <c r="AK5"/>
      <c r="AL5"/>
      <c r="AM5"/>
      <c r="AN5"/>
      <c r="AO5"/>
      <c r="AP5"/>
      <c r="AQ5"/>
    </row>
    <row r="6" spans="1:44" ht="15" customHeight="1" x14ac:dyDescent="0.25">
      <c r="A6" s="387" t="s">
        <v>7</v>
      </c>
      <c r="B6" s="388" t="s">
        <v>13</v>
      </c>
      <c r="C6" s="130" t="s">
        <v>38</v>
      </c>
      <c r="D6" s="323" t="str">
        <f ca="1">IFERROR(OFFSET(Camp_List[P_Code],MATCH(Data_Demography_t[[#This Row],[Camp]],Camp_List[Camp Name],0)-1,0,1,1),"")</f>
        <v>MMR012CMP016</v>
      </c>
      <c r="E6" s="389" t="s">
        <v>828</v>
      </c>
      <c r="F6" s="390" t="s">
        <v>676</v>
      </c>
      <c r="G6" s="272">
        <v>526</v>
      </c>
      <c r="H6" s="130">
        <f t="shared" si="0"/>
        <v>-526</v>
      </c>
      <c r="I6" s="130" t="s">
        <v>575</v>
      </c>
      <c r="J6" s="674">
        <v>43373</v>
      </c>
      <c r="L6" s="946" t="s">
        <v>13</v>
      </c>
      <c r="M6" s="884">
        <v>2624</v>
      </c>
      <c r="N6" s="410">
        <v>2715</v>
      </c>
      <c r="O6" s="410">
        <v>5339</v>
      </c>
      <c r="P6" s="410">
        <v>2087</v>
      </c>
      <c r="Q6" s="410">
        <v>2211</v>
      </c>
      <c r="R6" s="410">
        <v>4298</v>
      </c>
      <c r="S6" s="410">
        <v>1274</v>
      </c>
      <c r="T6" s="410">
        <v>1466</v>
      </c>
      <c r="U6" s="410">
        <v>2740</v>
      </c>
      <c r="V6" s="410">
        <v>2379</v>
      </c>
      <c r="W6" s="410">
        <v>1706</v>
      </c>
      <c r="X6" s="410">
        <v>4085</v>
      </c>
      <c r="Y6" s="410">
        <v>2501</v>
      </c>
      <c r="Z6" s="410">
        <v>2565</v>
      </c>
      <c r="AA6" s="410">
        <v>5066</v>
      </c>
      <c r="AB6" s="410">
        <v>354</v>
      </c>
      <c r="AC6" s="410">
        <v>417</v>
      </c>
      <c r="AD6" s="410">
        <v>771</v>
      </c>
      <c r="AE6" s="410">
        <v>22299</v>
      </c>
      <c r="AF6"/>
      <c r="AG6"/>
      <c r="AH6"/>
      <c r="AI6"/>
      <c r="AJ6"/>
      <c r="AK6"/>
      <c r="AL6"/>
      <c r="AM6"/>
      <c r="AN6"/>
      <c r="AO6"/>
      <c r="AP6"/>
      <c r="AQ6"/>
    </row>
    <row r="7" spans="1:44" ht="15" customHeight="1" x14ac:dyDescent="0.25">
      <c r="A7" s="387" t="s">
        <v>7</v>
      </c>
      <c r="B7" s="388" t="s">
        <v>13</v>
      </c>
      <c r="C7" s="130" t="s">
        <v>38</v>
      </c>
      <c r="D7" s="323" t="str">
        <f ca="1">IFERROR(OFFSET(Camp_List[P_Code],MATCH(Data_Demography_t[[#This Row],[Camp]],Camp_List[Camp Name],0)-1,0,1,1),"")</f>
        <v>MMR012CMP016</v>
      </c>
      <c r="E7" s="389" t="s">
        <v>828</v>
      </c>
      <c r="F7" s="390" t="s">
        <v>677</v>
      </c>
      <c r="G7" s="272">
        <v>508</v>
      </c>
      <c r="H7" s="130">
        <f t="shared" si="0"/>
        <v>508</v>
      </c>
      <c r="I7" s="130" t="s">
        <v>575</v>
      </c>
      <c r="J7" s="674">
        <v>43373</v>
      </c>
      <c r="L7" s="169" t="s">
        <v>40</v>
      </c>
      <c r="M7" s="884">
        <v>788</v>
      </c>
      <c r="N7" s="410">
        <v>737</v>
      </c>
      <c r="O7" s="410">
        <v>1525</v>
      </c>
      <c r="P7" s="410">
        <v>541</v>
      </c>
      <c r="Q7" s="410">
        <v>565</v>
      </c>
      <c r="R7" s="410">
        <v>1106</v>
      </c>
      <c r="S7" s="410">
        <v>282</v>
      </c>
      <c r="T7" s="410">
        <v>338</v>
      </c>
      <c r="U7" s="410">
        <v>620</v>
      </c>
      <c r="V7" s="410">
        <v>738</v>
      </c>
      <c r="W7" s="410">
        <v>500</v>
      </c>
      <c r="X7" s="410">
        <v>1238</v>
      </c>
      <c r="Y7" s="410">
        <v>575</v>
      </c>
      <c r="Z7" s="410">
        <v>672</v>
      </c>
      <c r="AA7" s="410">
        <v>1247</v>
      </c>
      <c r="AB7" s="410">
        <v>91</v>
      </c>
      <c r="AC7" s="410">
        <v>118</v>
      </c>
      <c r="AD7" s="410">
        <v>209</v>
      </c>
      <c r="AE7" s="410">
        <v>5945</v>
      </c>
      <c r="AF7"/>
      <c r="AG7"/>
      <c r="AH7"/>
      <c r="AI7"/>
      <c r="AJ7"/>
      <c r="AK7"/>
      <c r="AL7"/>
      <c r="AM7"/>
      <c r="AN7"/>
      <c r="AO7"/>
      <c r="AP7"/>
      <c r="AQ7"/>
    </row>
    <row r="8" spans="1:44" ht="15" customHeight="1" x14ac:dyDescent="0.25">
      <c r="A8" s="387" t="s">
        <v>7</v>
      </c>
      <c r="B8" s="388" t="s">
        <v>13</v>
      </c>
      <c r="C8" s="130" t="s">
        <v>38</v>
      </c>
      <c r="D8" s="323" t="str">
        <f ca="1">IFERROR(OFFSET(Camp_List[P_Code],MATCH(Data_Demography_t[[#This Row],[Camp]],Camp_List[Camp Name],0)-1,0,1,1),"")</f>
        <v>MMR012CMP016</v>
      </c>
      <c r="E8" s="389" t="s">
        <v>607</v>
      </c>
      <c r="F8" s="390" t="s">
        <v>676</v>
      </c>
      <c r="G8" s="272">
        <v>392</v>
      </c>
      <c r="H8" s="130">
        <f t="shared" si="0"/>
        <v>-392</v>
      </c>
      <c r="I8" s="130" t="s">
        <v>575</v>
      </c>
      <c r="J8" s="674">
        <v>43373</v>
      </c>
      <c r="L8" s="169" t="s">
        <v>41</v>
      </c>
      <c r="M8" s="884">
        <v>191</v>
      </c>
      <c r="N8" s="410">
        <v>220</v>
      </c>
      <c r="O8" s="410">
        <v>411</v>
      </c>
      <c r="P8" s="410">
        <v>169</v>
      </c>
      <c r="Q8" s="410">
        <v>194</v>
      </c>
      <c r="R8" s="410">
        <v>363</v>
      </c>
      <c r="S8" s="410">
        <v>196</v>
      </c>
      <c r="T8" s="410">
        <v>217</v>
      </c>
      <c r="U8" s="410">
        <v>413</v>
      </c>
      <c r="V8" s="410">
        <v>325</v>
      </c>
      <c r="W8" s="410">
        <v>304</v>
      </c>
      <c r="X8" s="410">
        <v>629</v>
      </c>
      <c r="Y8" s="410">
        <v>443</v>
      </c>
      <c r="Z8" s="410">
        <v>409</v>
      </c>
      <c r="AA8" s="410">
        <v>852</v>
      </c>
      <c r="AB8" s="410">
        <v>89</v>
      </c>
      <c r="AC8" s="410">
        <v>88</v>
      </c>
      <c r="AD8" s="410">
        <v>177</v>
      </c>
      <c r="AE8" s="410">
        <v>2845</v>
      </c>
      <c r="AF8"/>
      <c r="AG8"/>
      <c r="AH8"/>
      <c r="AI8"/>
      <c r="AJ8"/>
      <c r="AK8"/>
      <c r="AL8"/>
      <c r="AM8"/>
      <c r="AN8"/>
      <c r="AO8"/>
      <c r="AP8"/>
      <c r="AQ8"/>
      <c r="AR8"/>
    </row>
    <row r="9" spans="1:44" ht="15" customHeight="1" x14ac:dyDescent="0.25">
      <c r="A9" s="387" t="s">
        <v>7</v>
      </c>
      <c r="B9" s="388" t="s">
        <v>13</v>
      </c>
      <c r="C9" s="130" t="s">
        <v>38</v>
      </c>
      <c r="D9" s="323" t="str">
        <f ca="1">IFERROR(OFFSET(Camp_List[P_Code],MATCH(Data_Demography_t[[#This Row],[Camp]],Camp_List[Camp Name],0)-1,0,1,1),"")</f>
        <v>MMR012CMP016</v>
      </c>
      <c r="E9" s="389" t="s">
        <v>607</v>
      </c>
      <c r="F9" s="390" t="s">
        <v>677</v>
      </c>
      <c r="G9" s="272">
        <v>338</v>
      </c>
      <c r="H9" s="130">
        <f t="shared" si="0"/>
        <v>338</v>
      </c>
      <c r="I9" s="130" t="s">
        <v>575</v>
      </c>
      <c r="J9" s="674">
        <v>43373</v>
      </c>
      <c r="L9" s="169" t="s">
        <v>38</v>
      </c>
      <c r="M9" s="884">
        <v>467</v>
      </c>
      <c r="N9" s="410">
        <v>530</v>
      </c>
      <c r="O9" s="410">
        <v>997</v>
      </c>
      <c r="P9" s="410">
        <v>508</v>
      </c>
      <c r="Q9" s="410">
        <v>526</v>
      </c>
      <c r="R9" s="410">
        <v>1034</v>
      </c>
      <c r="S9" s="410">
        <v>338</v>
      </c>
      <c r="T9" s="410">
        <v>392</v>
      </c>
      <c r="U9" s="410">
        <v>730</v>
      </c>
      <c r="V9" s="410">
        <v>448</v>
      </c>
      <c r="W9" s="410">
        <v>322</v>
      </c>
      <c r="X9" s="410">
        <v>770</v>
      </c>
      <c r="Y9" s="410">
        <v>596</v>
      </c>
      <c r="Z9" s="410">
        <v>495</v>
      </c>
      <c r="AA9" s="410">
        <v>1091</v>
      </c>
      <c r="AB9" s="410">
        <v>48</v>
      </c>
      <c r="AC9" s="410">
        <v>56</v>
      </c>
      <c r="AD9" s="410">
        <v>104</v>
      </c>
      <c r="AE9" s="410">
        <v>4726</v>
      </c>
      <c r="AF9"/>
      <c r="AG9"/>
      <c r="AH9"/>
      <c r="AI9"/>
      <c r="AJ9"/>
      <c r="AK9"/>
      <c r="AL9"/>
      <c r="AM9"/>
      <c r="AN9"/>
      <c r="AO9"/>
      <c r="AP9"/>
      <c r="AQ9"/>
      <c r="AR9"/>
    </row>
    <row r="10" spans="1:44" ht="14.25" customHeight="1" x14ac:dyDescent="0.25">
      <c r="A10" s="387" t="s">
        <v>7</v>
      </c>
      <c r="B10" s="388" t="s">
        <v>13</v>
      </c>
      <c r="C10" s="130" t="s">
        <v>38</v>
      </c>
      <c r="D10" s="323" t="str">
        <f ca="1">IFERROR(OFFSET(Camp_List[P_Code],MATCH(Data_Demography_t[[#This Row],[Camp]],Camp_List[Camp Name],0)-1,0,1,1),"")</f>
        <v>MMR012CMP016</v>
      </c>
      <c r="E10" s="389" t="s">
        <v>829</v>
      </c>
      <c r="F10" s="390" t="s">
        <v>676</v>
      </c>
      <c r="G10" s="272">
        <v>322</v>
      </c>
      <c r="H10" s="130">
        <f t="shared" si="0"/>
        <v>-322</v>
      </c>
      <c r="I10" s="130" t="s">
        <v>575</v>
      </c>
      <c r="J10" s="674">
        <v>43373</v>
      </c>
      <c r="L10" s="169" t="s">
        <v>982</v>
      </c>
      <c r="M10" s="884">
        <v>617</v>
      </c>
      <c r="N10" s="410">
        <v>608</v>
      </c>
      <c r="O10" s="410">
        <v>1225</v>
      </c>
      <c r="P10" s="410">
        <v>334</v>
      </c>
      <c r="Q10" s="410">
        <v>377</v>
      </c>
      <c r="R10" s="410">
        <v>711</v>
      </c>
      <c r="S10" s="410">
        <v>220</v>
      </c>
      <c r="T10" s="410">
        <v>222</v>
      </c>
      <c r="U10" s="410">
        <v>442</v>
      </c>
      <c r="V10" s="410">
        <v>476</v>
      </c>
      <c r="W10" s="410">
        <v>336</v>
      </c>
      <c r="X10" s="410">
        <v>812</v>
      </c>
      <c r="Y10" s="410">
        <v>348</v>
      </c>
      <c r="Z10" s="410">
        <v>426</v>
      </c>
      <c r="AA10" s="410">
        <v>774</v>
      </c>
      <c r="AB10" s="410">
        <v>66</v>
      </c>
      <c r="AC10" s="410">
        <v>88</v>
      </c>
      <c r="AD10" s="410">
        <v>154</v>
      </c>
      <c r="AE10" s="410">
        <v>4118</v>
      </c>
      <c r="AF10"/>
      <c r="AG10"/>
      <c r="AH10"/>
      <c r="AI10"/>
      <c r="AJ10"/>
      <c r="AK10"/>
      <c r="AL10"/>
      <c r="AM10"/>
      <c r="AN10"/>
      <c r="AO10"/>
      <c r="AP10"/>
      <c r="AQ10"/>
      <c r="AR10"/>
    </row>
    <row r="11" spans="1:44" ht="15" customHeight="1" x14ac:dyDescent="0.25">
      <c r="A11" s="387" t="s">
        <v>7</v>
      </c>
      <c r="B11" s="388" t="s">
        <v>13</v>
      </c>
      <c r="C11" s="130" t="s">
        <v>38</v>
      </c>
      <c r="D11" s="323" t="str">
        <f ca="1">IFERROR(OFFSET(Camp_List[P_Code],MATCH(Data_Demography_t[[#This Row],[Camp]],Camp_List[Camp Name],0)-1,0,1,1),"")</f>
        <v>MMR012CMP016</v>
      </c>
      <c r="E11" s="389" t="s">
        <v>829</v>
      </c>
      <c r="F11" s="390" t="s">
        <v>677</v>
      </c>
      <c r="G11" s="272">
        <v>448</v>
      </c>
      <c r="H11" s="130">
        <f t="shared" si="0"/>
        <v>448</v>
      </c>
      <c r="I11" s="130" t="s">
        <v>575</v>
      </c>
      <c r="J11" s="674">
        <v>43373</v>
      </c>
      <c r="L11" s="169" t="s">
        <v>981</v>
      </c>
      <c r="M11" s="884">
        <v>561</v>
      </c>
      <c r="N11" s="410">
        <v>620</v>
      </c>
      <c r="O11" s="410">
        <v>1181</v>
      </c>
      <c r="P11" s="410">
        <v>535</v>
      </c>
      <c r="Q11" s="410">
        <v>549</v>
      </c>
      <c r="R11" s="410">
        <v>1084</v>
      </c>
      <c r="S11" s="410">
        <v>238</v>
      </c>
      <c r="T11" s="410">
        <v>297</v>
      </c>
      <c r="U11" s="410">
        <v>535</v>
      </c>
      <c r="V11" s="410">
        <v>392</v>
      </c>
      <c r="W11" s="410">
        <v>244</v>
      </c>
      <c r="X11" s="410">
        <v>636</v>
      </c>
      <c r="Y11" s="410">
        <v>539</v>
      </c>
      <c r="Z11" s="410">
        <v>563</v>
      </c>
      <c r="AA11" s="410">
        <v>1102</v>
      </c>
      <c r="AB11" s="410">
        <v>60</v>
      </c>
      <c r="AC11" s="410">
        <v>67</v>
      </c>
      <c r="AD11" s="410">
        <v>127</v>
      </c>
      <c r="AE11" s="410">
        <v>4665</v>
      </c>
      <c r="AF11"/>
      <c r="AG11"/>
      <c r="AH11"/>
      <c r="AI11"/>
      <c r="AJ11"/>
      <c r="AK11"/>
      <c r="AL11"/>
      <c r="AM11"/>
      <c r="AN11"/>
      <c r="AO11"/>
      <c r="AP11"/>
      <c r="AQ11"/>
      <c r="AR11"/>
    </row>
    <row r="12" spans="1:44" ht="15" customHeight="1" x14ac:dyDescent="0.25">
      <c r="A12" s="387" t="s">
        <v>7</v>
      </c>
      <c r="B12" s="388" t="s">
        <v>13</v>
      </c>
      <c r="C12" s="130" t="s">
        <v>38</v>
      </c>
      <c r="D12" s="323" t="str">
        <f ca="1">IFERROR(OFFSET(Camp_List[P_Code],MATCH(Data_Demography_t[[#This Row],[Camp]],Camp_List[Camp Name],0)-1,0,1,1),"")</f>
        <v>MMR012CMP016</v>
      </c>
      <c r="E12" s="389" t="s">
        <v>830</v>
      </c>
      <c r="F12" s="390" t="s">
        <v>676</v>
      </c>
      <c r="G12" s="272">
        <v>495</v>
      </c>
      <c r="H12" s="130">
        <f t="shared" si="0"/>
        <v>-495</v>
      </c>
      <c r="I12" s="130" t="s">
        <v>575</v>
      </c>
      <c r="J12" s="674">
        <v>43373</v>
      </c>
      <c r="L12" s="946" t="s">
        <v>17</v>
      </c>
      <c r="M12" s="884">
        <v>8947</v>
      </c>
      <c r="N12" s="410">
        <v>9097.9647974726395</v>
      </c>
      <c r="O12" s="410">
        <v>18044.964797472639</v>
      </c>
      <c r="P12" s="410">
        <v>8463</v>
      </c>
      <c r="Q12" s="410">
        <v>9236.2221595396586</v>
      </c>
      <c r="R12" s="410">
        <v>17699.222159539659</v>
      </c>
      <c r="S12" s="410">
        <v>7081</v>
      </c>
      <c r="T12" s="410">
        <v>7492.9377186054389</v>
      </c>
      <c r="U12" s="410">
        <v>14573.937718605439</v>
      </c>
      <c r="V12" s="410">
        <v>9632.7113844070846</v>
      </c>
      <c r="W12" s="410">
        <v>7332</v>
      </c>
      <c r="X12" s="410">
        <v>16964.711384407085</v>
      </c>
      <c r="Y12" s="410">
        <v>12472.765542141487</v>
      </c>
      <c r="Z12" s="410">
        <v>11501</v>
      </c>
      <c r="AA12" s="410">
        <v>23973.765542141489</v>
      </c>
      <c r="AB12" s="410">
        <v>1777</v>
      </c>
      <c r="AC12" s="410">
        <v>1701</v>
      </c>
      <c r="AD12" s="410">
        <v>3478</v>
      </c>
      <c r="AE12" s="410">
        <v>94734.601602166309</v>
      </c>
      <c r="AF12"/>
      <c r="AG12"/>
      <c r="AH12"/>
      <c r="AI12"/>
      <c r="AJ12"/>
      <c r="AK12"/>
      <c r="AL12"/>
      <c r="AM12"/>
      <c r="AN12"/>
      <c r="AO12"/>
      <c r="AP12"/>
      <c r="AQ12"/>
      <c r="AR12"/>
    </row>
    <row r="13" spans="1:44" ht="15" customHeight="1" x14ac:dyDescent="0.25">
      <c r="A13" s="387" t="s">
        <v>7</v>
      </c>
      <c r="B13" s="388" t="s">
        <v>13</v>
      </c>
      <c r="C13" s="130" t="s">
        <v>38</v>
      </c>
      <c r="D13" s="323" t="str">
        <f ca="1">IFERROR(OFFSET(Camp_List[P_Code],MATCH(Data_Demography_t[[#This Row],[Camp]],Camp_List[Camp Name],0)-1,0,1,1),"")</f>
        <v>MMR012CMP016</v>
      </c>
      <c r="E13" s="389" t="s">
        <v>830</v>
      </c>
      <c r="F13" s="390" t="s">
        <v>677</v>
      </c>
      <c r="G13" s="272">
        <v>596</v>
      </c>
      <c r="H13" s="130">
        <f t="shared" si="0"/>
        <v>596</v>
      </c>
      <c r="I13" s="130" t="s">
        <v>575</v>
      </c>
      <c r="J13" s="674">
        <v>43373</v>
      </c>
      <c r="L13" s="340" t="s">
        <v>586</v>
      </c>
      <c r="M13" s="884">
        <v>1446</v>
      </c>
      <c r="N13" s="410">
        <v>1563</v>
      </c>
      <c r="O13" s="410">
        <v>3009</v>
      </c>
      <c r="P13" s="410">
        <v>1219</v>
      </c>
      <c r="Q13" s="410">
        <v>1417</v>
      </c>
      <c r="R13" s="410">
        <v>2636</v>
      </c>
      <c r="S13" s="410">
        <v>909</v>
      </c>
      <c r="T13" s="410">
        <v>985</v>
      </c>
      <c r="U13" s="410">
        <v>1894</v>
      </c>
      <c r="V13" s="410">
        <v>1517</v>
      </c>
      <c r="W13" s="410">
        <v>1061</v>
      </c>
      <c r="X13" s="410">
        <v>2578</v>
      </c>
      <c r="Y13" s="410">
        <v>1580</v>
      </c>
      <c r="Z13" s="410">
        <v>1463</v>
      </c>
      <c r="AA13" s="410">
        <v>3043</v>
      </c>
      <c r="AB13" s="410">
        <v>322</v>
      </c>
      <c r="AC13" s="410">
        <v>312</v>
      </c>
      <c r="AD13" s="410">
        <v>634</v>
      </c>
      <c r="AE13" s="410">
        <v>13794</v>
      </c>
      <c r="AF13"/>
      <c r="AG13"/>
      <c r="AH13"/>
      <c r="AI13"/>
      <c r="AJ13"/>
      <c r="AK13"/>
      <c r="AL13"/>
      <c r="AM13"/>
      <c r="AN13"/>
      <c r="AO13"/>
      <c r="AP13"/>
      <c r="AQ13"/>
      <c r="AR13"/>
    </row>
    <row r="14" spans="1:44" ht="15" customHeight="1" x14ac:dyDescent="0.25">
      <c r="A14" s="387" t="s">
        <v>7</v>
      </c>
      <c r="B14" s="388" t="s">
        <v>13</v>
      </c>
      <c r="C14" s="130" t="s">
        <v>38</v>
      </c>
      <c r="D14" s="323" t="str">
        <f ca="1">IFERROR(OFFSET(Camp_List[P_Code],MATCH(Data_Demography_t[[#This Row],[Camp]],Camp_List[Camp Name],0)-1,0,1,1),"")</f>
        <v>MMR012CMP016</v>
      </c>
      <c r="E14" s="389" t="s">
        <v>806</v>
      </c>
      <c r="F14" s="390" t="s">
        <v>676</v>
      </c>
      <c r="G14" s="272">
        <v>56</v>
      </c>
      <c r="H14" s="130">
        <f t="shared" si="0"/>
        <v>-56</v>
      </c>
      <c r="I14" s="130" t="s">
        <v>575</v>
      </c>
      <c r="J14" s="674">
        <v>43373</v>
      </c>
      <c r="L14" s="703" t="s">
        <v>587</v>
      </c>
      <c r="M14" s="884">
        <v>1041</v>
      </c>
      <c r="N14" s="410">
        <v>1116</v>
      </c>
      <c r="O14" s="410">
        <v>2157</v>
      </c>
      <c r="P14" s="410">
        <v>1062</v>
      </c>
      <c r="Q14" s="410">
        <v>1250</v>
      </c>
      <c r="R14" s="410">
        <v>2312</v>
      </c>
      <c r="S14" s="410">
        <v>853</v>
      </c>
      <c r="T14" s="410">
        <v>899</v>
      </c>
      <c r="U14" s="410">
        <v>1752</v>
      </c>
      <c r="V14" s="410">
        <v>1023</v>
      </c>
      <c r="W14" s="410">
        <v>633</v>
      </c>
      <c r="X14" s="410">
        <v>1656</v>
      </c>
      <c r="Y14" s="410">
        <v>1724</v>
      </c>
      <c r="Z14" s="410">
        <v>1430</v>
      </c>
      <c r="AA14" s="410">
        <v>3154</v>
      </c>
      <c r="AB14" s="410">
        <v>154</v>
      </c>
      <c r="AC14" s="410">
        <v>137</v>
      </c>
      <c r="AD14" s="410">
        <v>291</v>
      </c>
      <c r="AE14" s="410">
        <v>11322</v>
      </c>
      <c r="AF14"/>
      <c r="AG14"/>
      <c r="AH14"/>
      <c r="AI14"/>
      <c r="AJ14"/>
      <c r="AK14"/>
      <c r="AL14"/>
      <c r="AM14"/>
      <c r="AN14"/>
      <c r="AO14"/>
      <c r="AP14"/>
      <c r="AQ14"/>
      <c r="AR14"/>
    </row>
    <row r="15" spans="1:44" ht="15" customHeight="1" x14ac:dyDescent="0.25">
      <c r="A15" s="387" t="s">
        <v>7</v>
      </c>
      <c r="B15" s="388" t="s">
        <v>13</v>
      </c>
      <c r="C15" s="130" t="s">
        <v>38</v>
      </c>
      <c r="D15" s="323" t="str">
        <f ca="1">IFERROR(OFFSET(Camp_List[P_Code],MATCH(Data_Demography_t[[#This Row],[Camp]],Camp_List[Camp Name],0)-1,0,1,1),"")</f>
        <v>MMR012CMP016</v>
      </c>
      <c r="E15" s="389" t="s">
        <v>806</v>
      </c>
      <c r="F15" s="390" t="s">
        <v>677</v>
      </c>
      <c r="G15" s="272">
        <v>48</v>
      </c>
      <c r="H15" s="130">
        <f t="shared" si="0"/>
        <v>48</v>
      </c>
      <c r="I15" s="130" t="s">
        <v>575</v>
      </c>
      <c r="J15" s="674">
        <v>43373</v>
      </c>
      <c r="L15" s="169" t="s">
        <v>65</v>
      </c>
      <c r="M15" s="884">
        <v>1322</v>
      </c>
      <c r="N15" s="410">
        <v>1370</v>
      </c>
      <c r="O15" s="410">
        <v>2692</v>
      </c>
      <c r="P15" s="410">
        <v>1293</v>
      </c>
      <c r="Q15" s="410">
        <v>1422</v>
      </c>
      <c r="R15" s="410">
        <v>2715</v>
      </c>
      <c r="S15" s="410">
        <v>1051</v>
      </c>
      <c r="T15" s="410">
        <v>1105</v>
      </c>
      <c r="U15" s="410">
        <v>2156</v>
      </c>
      <c r="V15" s="410">
        <v>1346</v>
      </c>
      <c r="W15" s="410">
        <v>1054</v>
      </c>
      <c r="X15" s="410">
        <v>2400</v>
      </c>
      <c r="Y15" s="410">
        <v>1716</v>
      </c>
      <c r="Z15" s="410">
        <v>1546</v>
      </c>
      <c r="AA15" s="410">
        <v>3262</v>
      </c>
      <c r="AB15" s="410">
        <v>245</v>
      </c>
      <c r="AC15" s="410">
        <v>241</v>
      </c>
      <c r="AD15" s="410">
        <v>486</v>
      </c>
      <c r="AE15" s="410">
        <v>13711</v>
      </c>
      <c r="AF15"/>
      <c r="AG15"/>
      <c r="AH15"/>
      <c r="AI15"/>
      <c r="AJ15"/>
      <c r="AK15"/>
      <c r="AL15"/>
      <c r="AM15"/>
      <c r="AN15"/>
      <c r="AO15"/>
      <c r="AP15"/>
      <c r="AQ15"/>
      <c r="AR15"/>
    </row>
    <row r="16" spans="1:44" ht="15" customHeight="1" x14ac:dyDescent="0.25">
      <c r="A16" s="387" t="s">
        <v>7</v>
      </c>
      <c r="B16" s="388" t="s">
        <v>17</v>
      </c>
      <c r="C16" s="130" t="s">
        <v>581</v>
      </c>
      <c r="D16" s="323" t="str">
        <f ca="1">IFERROR(OFFSET(Camp_List[P_Code],MATCH(Data_Demography_t[[#This Row],[Camp]],Camp_List[Camp Name],0)-1,0,1,1),"")</f>
        <v>MMR012CMP113</v>
      </c>
      <c r="E16" s="389" t="s">
        <v>1038</v>
      </c>
      <c r="F16" s="390" t="s">
        <v>676</v>
      </c>
      <c r="G16" s="272">
        <v>380</v>
      </c>
      <c r="H16" s="130">
        <f t="shared" si="0"/>
        <v>-380</v>
      </c>
      <c r="I16" s="130" t="s">
        <v>273</v>
      </c>
      <c r="J16" s="674">
        <v>43404</v>
      </c>
      <c r="L16" s="169" t="s">
        <v>59</v>
      </c>
      <c r="M16" s="884">
        <v>215</v>
      </c>
      <c r="N16" s="410">
        <v>254</v>
      </c>
      <c r="O16" s="410">
        <v>469</v>
      </c>
      <c r="P16" s="410">
        <v>184</v>
      </c>
      <c r="Q16" s="410">
        <v>196</v>
      </c>
      <c r="R16" s="410">
        <v>380</v>
      </c>
      <c r="S16" s="410">
        <v>132</v>
      </c>
      <c r="T16" s="410">
        <v>141</v>
      </c>
      <c r="U16" s="410">
        <v>273</v>
      </c>
      <c r="V16" s="410">
        <v>213</v>
      </c>
      <c r="W16" s="410">
        <v>142</v>
      </c>
      <c r="X16" s="410">
        <v>355</v>
      </c>
      <c r="Y16" s="410">
        <v>349</v>
      </c>
      <c r="Z16" s="410">
        <v>333</v>
      </c>
      <c r="AA16" s="410">
        <v>682</v>
      </c>
      <c r="AB16" s="410">
        <v>59</v>
      </c>
      <c r="AC16" s="410">
        <v>49</v>
      </c>
      <c r="AD16" s="410">
        <v>108</v>
      </c>
      <c r="AE16" s="410">
        <v>2267</v>
      </c>
      <c r="AF16"/>
      <c r="AG16"/>
      <c r="AH16"/>
      <c r="AI16"/>
      <c r="AJ16"/>
      <c r="AK16"/>
      <c r="AL16"/>
      <c r="AM16"/>
      <c r="AN16"/>
      <c r="AO16"/>
      <c r="AP16"/>
      <c r="AQ16"/>
      <c r="AR16"/>
    </row>
    <row r="17" spans="1:44" ht="15" customHeight="1" x14ac:dyDescent="0.25">
      <c r="A17" s="387" t="s">
        <v>7</v>
      </c>
      <c r="B17" s="388" t="s">
        <v>17</v>
      </c>
      <c r="C17" s="130" t="s">
        <v>581</v>
      </c>
      <c r="D17" s="323" t="str">
        <f ca="1">IFERROR(OFFSET(Camp_List[P_Code],MATCH(Data_Demography_t[[#This Row],[Camp]],Camp_List[Camp Name],0)-1,0,1,1),"")</f>
        <v>MMR012CMP113</v>
      </c>
      <c r="E17" s="389" t="s">
        <v>1038</v>
      </c>
      <c r="F17" s="390" t="s">
        <v>677</v>
      </c>
      <c r="G17" s="272">
        <v>398</v>
      </c>
      <c r="H17" s="130">
        <f t="shared" si="0"/>
        <v>398</v>
      </c>
      <c r="I17" s="130" t="s">
        <v>273</v>
      </c>
      <c r="J17" s="674">
        <v>43404</v>
      </c>
      <c r="L17" s="703" t="s">
        <v>61</v>
      </c>
      <c r="M17" s="884">
        <v>963</v>
      </c>
      <c r="N17" s="410">
        <v>1017.9647974726391</v>
      </c>
      <c r="O17" s="410">
        <v>1980.964797472639</v>
      </c>
      <c r="P17" s="410">
        <v>1087</v>
      </c>
      <c r="Q17" s="410">
        <v>1078.2221595396593</v>
      </c>
      <c r="R17" s="410">
        <v>2165.2221595396595</v>
      </c>
      <c r="S17" s="410">
        <v>956</v>
      </c>
      <c r="T17" s="410">
        <v>926.93771860543836</v>
      </c>
      <c r="U17" s="410">
        <v>1882.9377186054385</v>
      </c>
      <c r="V17" s="410">
        <v>1207.7113844070857</v>
      </c>
      <c r="W17" s="410">
        <v>947</v>
      </c>
      <c r="X17" s="410">
        <v>2154.7113844070855</v>
      </c>
      <c r="Y17" s="410">
        <v>1389.765542141487</v>
      </c>
      <c r="Z17" s="410">
        <v>1321</v>
      </c>
      <c r="AA17" s="410">
        <v>2710.765542141487</v>
      </c>
      <c r="AB17" s="410">
        <v>234</v>
      </c>
      <c r="AC17" s="410">
        <v>234</v>
      </c>
      <c r="AD17" s="410">
        <v>468</v>
      </c>
      <c r="AE17" s="410">
        <v>11362.601602166309</v>
      </c>
      <c r="AF17"/>
      <c r="AG17"/>
      <c r="AH17"/>
      <c r="AI17"/>
      <c r="AJ17"/>
      <c r="AK17"/>
      <c r="AL17"/>
      <c r="AM17"/>
      <c r="AN17"/>
      <c r="AO17"/>
      <c r="AP17"/>
      <c r="AQ17"/>
      <c r="AR17"/>
    </row>
    <row r="18" spans="1:44" s="645" customFormat="1" ht="15" customHeight="1" x14ac:dyDescent="0.25">
      <c r="A18" s="387" t="s">
        <v>7</v>
      </c>
      <c r="B18" s="388" t="s">
        <v>17</v>
      </c>
      <c r="C18" s="130" t="s">
        <v>581</v>
      </c>
      <c r="D18" s="323" t="str">
        <f ca="1">IFERROR(OFFSET(Camp_List[P_Code],MATCH(Data_Demography_t[[#This Row],[Camp]],Camp_List[Camp Name],0)-1,0,1,1),"")</f>
        <v>MMR012CMP113</v>
      </c>
      <c r="E18" s="389" t="s">
        <v>828</v>
      </c>
      <c r="F18" s="390" t="s">
        <v>676</v>
      </c>
      <c r="G18" s="272">
        <v>390</v>
      </c>
      <c r="H18" s="130">
        <f t="shared" si="0"/>
        <v>-390</v>
      </c>
      <c r="I18" s="130" t="s">
        <v>273</v>
      </c>
      <c r="J18" s="674">
        <v>43404</v>
      </c>
      <c r="K18" s="268"/>
      <c r="L18" s="703" t="s">
        <v>580</v>
      </c>
      <c r="M18" s="884">
        <v>254</v>
      </c>
      <c r="N18" s="410">
        <v>328</v>
      </c>
      <c r="O18" s="410">
        <v>582</v>
      </c>
      <c r="P18" s="410">
        <v>291</v>
      </c>
      <c r="Q18" s="410">
        <v>333</v>
      </c>
      <c r="R18" s="410">
        <v>624</v>
      </c>
      <c r="S18" s="410">
        <v>264</v>
      </c>
      <c r="T18" s="410">
        <v>268</v>
      </c>
      <c r="U18" s="410">
        <v>532</v>
      </c>
      <c r="V18" s="410">
        <v>360</v>
      </c>
      <c r="W18" s="410">
        <v>276</v>
      </c>
      <c r="X18" s="410">
        <v>636</v>
      </c>
      <c r="Y18" s="410">
        <v>452</v>
      </c>
      <c r="Z18" s="410">
        <v>406</v>
      </c>
      <c r="AA18" s="410">
        <v>858</v>
      </c>
      <c r="AB18" s="410">
        <v>75</v>
      </c>
      <c r="AC18" s="410">
        <v>63</v>
      </c>
      <c r="AD18" s="410">
        <v>138</v>
      </c>
      <c r="AE18" s="410">
        <v>3370</v>
      </c>
      <c r="AF18"/>
      <c r="AG18"/>
      <c r="AH18"/>
      <c r="AI18"/>
      <c r="AJ18"/>
      <c r="AK18"/>
      <c r="AL18"/>
      <c r="AM18"/>
      <c r="AN18"/>
      <c r="AO18"/>
      <c r="AP18"/>
      <c r="AQ18"/>
    </row>
    <row r="19" spans="1:44" s="645" customFormat="1" ht="15" customHeight="1" x14ac:dyDescent="0.25">
      <c r="A19" s="387" t="s">
        <v>7</v>
      </c>
      <c r="B19" s="388" t="s">
        <v>17</v>
      </c>
      <c r="C19" s="130" t="s">
        <v>581</v>
      </c>
      <c r="D19" s="323" t="str">
        <f ca="1">IFERROR(OFFSET(Camp_List[P_Code],MATCH(Data_Demography_t[[#This Row],[Camp]],Camp_List[Camp Name],0)-1,0,1,1),"")</f>
        <v>MMR012CMP113</v>
      </c>
      <c r="E19" s="389" t="s">
        <v>828</v>
      </c>
      <c r="F19" s="390" t="s">
        <v>677</v>
      </c>
      <c r="G19" s="272">
        <v>359</v>
      </c>
      <c r="H19" s="130">
        <f t="shared" si="0"/>
        <v>359</v>
      </c>
      <c r="I19" s="130" t="s">
        <v>273</v>
      </c>
      <c r="J19" s="674">
        <v>43404</v>
      </c>
      <c r="K19" s="268"/>
      <c r="L19" s="169" t="s">
        <v>585</v>
      </c>
      <c r="M19" s="884">
        <v>478</v>
      </c>
      <c r="N19" s="410">
        <v>460</v>
      </c>
      <c r="O19" s="410">
        <v>938</v>
      </c>
      <c r="P19" s="410">
        <v>359</v>
      </c>
      <c r="Q19" s="410">
        <v>435</v>
      </c>
      <c r="R19" s="410">
        <v>794</v>
      </c>
      <c r="S19" s="410">
        <v>282</v>
      </c>
      <c r="T19" s="410">
        <v>355</v>
      </c>
      <c r="U19" s="410">
        <v>637</v>
      </c>
      <c r="V19" s="410">
        <v>453</v>
      </c>
      <c r="W19" s="410">
        <v>340</v>
      </c>
      <c r="X19" s="410">
        <v>793</v>
      </c>
      <c r="Y19" s="410">
        <v>348</v>
      </c>
      <c r="Z19" s="410">
        <v>413</v>
      </c>
      <c r="AA19" s="410">
        <v>761</v>
      </c>
      <c r="AB19" s="410">
        <v>39</v>
      </c>
      <c r="AC19" s="410">
        <v>45</v>
      </c>
      <c r="AD19" s="410">
        <v>84</v>
      </c>
      <c r="AE19" s="410">
        <v>4007</v>
      </c>
      <c r="AF19"/>
      <c r="AG19"/>
      <c r="AH19"/>
      <c r="AI19"/>
      <c r="AJ19"/>
      <c r="AK19"/>
      <c r="AL19"/>
      <c r="AM19"/>
      <c r="AN19"/>
      <c r="AO19"/>
      <c r="AP19"/>
      <c r="AQ19"/>
    </row>
    <row r="20" spans="1:44" ht="15" customHeight="1" x14ac:dyDescent="0.25">
      <c r="A20" s="387" t="s">
        <v>7</v>
      </c>
      <c r="B20" s="388" t="s">
        <v>17</v>
      </c>
      <c r="C20" s="130" t="s">
        <v>581</v>
      </c>
      <c r="D20" s="323" t="str">
        <f ca="1">IFERROR(OFFSET(Camp_List[P_Code],MATCH(Data_Demography_t[[#This Row],[Camp]],Camp_List[Camp Name],0)-1,0,1,1),"")</f>
        <v>MMR012CMP113</v>
      </c>
      <c r="E20" s="389" t="s">
        <v>607</v>
      </c>
      <c r="F20" s="390" t="s">
        <v>676</v>
      </c>
      <c r="G20" s="863">
        <v>413</v>
      </c>
      <c r="H20" s="130">
        <f t="shared" si="0"/>
        <v>-413</v>
      </c>
      <c r="I20" s="130" t="s">
        <v>273</v>
      </c>
      <c r="J20" s="674">
        <v>43404</v>
      </c>
      <c r="L20" s="169" t="s">
        <v>68</v>
      </c>
      <c r="M20" s="884">
        <v>623</v>
      </c>
      <c r="N20" s="410">
        <v>544</v>
      </c>
      <c r="O20" s="410">
        <v>1167</v>
      </c>
      <c r="P20" s="410">
        <v>497</v>
      </c>
      <c r="Q20" s="410">
        <v>569</v>
      </c>
      <c r="R20" s="410">
        <v>1066</v>
      </c>
      <c r="S20" s="410">
        <v>451</v>
      </c>
      <c r="T20" s="410">
        <v>459</v>
      </c>
      <c r="U20" s="410">
        <v>910</v>
      </c>
      <c r="V20" s="410">
        <v>614</v>
      </c>
      <c r="W20" s="410">
        <v>469</v>
      </c>
      <c r="X20" s="410">
        <v>1083</v>
      </c>
      <c r="Y20" s="410">
        <v>771</v>
      </c>
      <c r="Z20" s="410">
        <v>692</v>
      </c>
      <c r="AA20" s="410">
        <v>1463</v>
      </c>
      <c r="AB20" s="410">
        <v>126</v>
      </c>
      <c r="AC20" s="410">
        <v>111</v>
      </c>
      <c r="AD20" s="410">
        <v>237</v>
      </c>
      <c r="AE20" s="410">
        <v>5926</v>
      </c>
      <c r="AF20"/>
      <c r="AG20"/>
      <c r="AH20"/>
      <c r="AI20"/>
      <c r="AJ20"/>
      <c r="AK20"/>
      <c r="AL20"/>
      <c r="AM20"/>
      <c r="AN20"/>
      <c r="AO20"/>
      <c r="AP20"/>
      <c r="AQ20"/>
      <c r="AR20"/>
    </row>
    <row r="21" spans="1:44" ht="15" customHeight="1" x14ac:dyDescent="0.25">
      <c r="A21" s="387" t="s">
        <v>7</v>
      </c>
      <c r="B21" s="388" t="s">
        <v>17</v>
      </c>
      <c r="C21" s="130" t="s">
        <v>581</v>
      </c>
      <c r="D21" s="323" t="str">
        <f ca="1">IFERROR(OFFSET(Camp_List[P_Code],MATCH(Data_Demography_t[[#This Row],[Camp]],Camp_List[Camp Name],0)-1,0,1,1),"")</f>
        <v>MMR012CMP113</v>
      </c>
      <c r="E21" s="389" t="s">
        <v>607</v>
      </c>
      <c r="F21" s="390" t="s">
        <v>677</v>
      </c>
      <c r="G21" s="863">
        <v>325</v>
      </c>
      <c r="H21" s="130">
        <f t="shared" si="0"/>
        <v>325</v>
      </c>
      <c r="I21" s="130" t="s">
        <v>273</v>
      </c>
      <c r="J21" s="674">
        <v>43404</v>
      </c>
      <c r="L21" s="704" t="s">
        <v>66</v>
      </c>
      <c r="M21" s="884">
        <v>1106</v>
      </c>
      <c r="N21" s="410">
        <v>1003</v>
      </c>
      <c r="O21" s="410">
        <v>2109</v>
      </c>
      <c r="P21" s="410">
        <v>1104</v>
      </c>
      <c r="Q21" s="410">
        <v>1070</v>
      </c>
      <c r="R21" s="410">
        <v>2174</v>
      </c>
      <c r="S21" s="410">
        <v>1024</v>
      </c>
      <c r="T21" s="410">
        <v>1043</v>
      </c>
      <c r="U21" s="410">
        <v>2067</v>
      </c>
      <c r="V21" s="410">
        <v>1236</v>
      </c>
      <c r="W21" s="410">
        <v>1111</v>
      </c>
      <c r="X21" s="410">
        <v>2347</v>
      </c>
      <c r="Y21" s="410">
        <v>1975</v>
      </c>
      <c r="Z21" s="410">
        <v>1882</v>
      </c>
      <c r="AA21" s="410">
        <v>3857</v>
      </c>
      <c r="AB21" s="410">
        <v>260</v>
      </c>
      <c r="AC21" s="410">
        <v>258</v>
      </c>
      <c r="AD21" s="410">
        <v>518</v>
      </c>
      <c r="AE21" s="410">
        <v>13072</v>
      </c>
      <c r="AF21"/>
      <c r="AG21"/>
      <c r="AH21"/>
      <c r="AI21"/>
      <c r="AJ21"/>
      <c r="AK21"/>
      <c r="AL21"/>
      <c r="AM21"/>
      <c r="AN21"/>
      <c r="AO21"/>
      <c r="AP21"/>
      <c r="AQ21"/>
      <c r="AR21"/>
    </row>
    <row r="22" spans="1:44" ht="15" customHeight="1" x14ac:dyDescent="0.25">
      <c r="A22" s="387" t="s">
        <v>7</v>
      </c>
      <c r="B22" s="388" t="s">
        <v>17</v>
      </c>
      <c r="C22" s="130" t="s">
        <v>581</v>
      </c>
      <c r="D22" s="323" t="str">
        <f ca="1">IFERROR(OFFSET(Camp_List[P_Code],MATCH(Data_Demography_t[[#This Row],[Camp]],Camp_List[Camp Name],0)-1,0,1,1),"")</f>
        <v>MMR012CMP113</v>
      </c>
      <c r="E22" s="389" t="s">
        <v>829</v>
      </c>
      <c r="F22" s="390" t="s">
        <v>676</v>
      </c>
      <c r="G22" s="272">
        <v>351</v>
      </c>
      <c r="H22" s="130">
        <f t="shared" si="0"/>
        <v>-351</v>
      </c>
      <c r="I22" s="130" t="s">
        <v>273</v>
      </c>
      <c r="J22" s="674">
        <v>43404</v>
      </c>
      <c r="L22" s="702" t="s">
        <v>581</v>
      </c>
      <c r="M22" s="884">
        <v>398</v>
      </c>
      <c r="N22" s="410">
        <v>380</v>
      </c>
      <c r="O22" s="410">
        <v>778</v>
      </c>
      <c r="P22" s="410">
        <v>359</v>
      </c>
      <c r="Q22" s="410">
        <v>390</v>
      </c>
      <c r="R22" s="410">
        <v>749</v>
      </c>
      <c r="S22" s="410">
        <v>325</v>
      </c>
      <c r="T22" s="410">
        <v>413</v>
      </c>
      <c r="U22" s="410">
        <v>738</v>
      </c>
      <c r="V22" s="410">
        <v>422</v>
      </c>
      <c r="W22" s="410">
        <v>351</v>
      </c>
      <c r="X22" s="410">
        <v>773</v>
      </c>
      <c r="Y22" s="410">
        <v>801</v>
      </c>
      <c r="Z22" s="410">
        <v>753</v>
      </c>
      <c r="AA22" s="410">
        <v>1554</v>
      </c>
      <c r="AB22" s="410">
        <v>84</v>
      </c>
      <c r="AC22" s="410">
        <v>81</v>
      </c>
      <c r="AD22" s="410">
        <v>165</v>
      </c>
      <c r="AE22" s="410">
        <v>4757</v>
      </c>
      <c r="AF22"/>
      <c r="AG22"/>
      <c r="AH22"/>
      <c r="AI22"/>
      <c r="AJ22"/>
      <c r="AK22"/>
      <c r="AL22"/>
      <c r="AM22"/>
      <c r="AN22"/>
      <c r="AO22"/>
      <c r="AP22"/>
      <c r="AQ22"/>
      <c r="AR22"/>
    </row>
    <row r="23" spans="1:44" ht="15" customHeight="1" x14ac:dyDescent="0.25">
      <c r="A23" s="387" t="s">
        <v>7</v>
      </c>
      <c r="B23" s="388" t="s">
        <v>17</v>
      </c>
      <c r="C23" s="130" t="s">
        <v>581</v>
      </c>
      <c r="D23" s="323" t="str">
        <f ca="1">IFERROR(OFFSET(Camp_List[P_Code],MATCH(Data_Demography_t[[#This Row],[Camp]],Camp_List[Camp Name],0)-1,0,1,1),"")</f>
        <v>MMR012CMP113</v>
      </c>
      <c r="E23" s="389" t="s">
        <v>829</v>
      </c>
      <c r="F23" s="390" t="s">
        <v>677</v>
      </c>
      <c r="G23" s="272">
        <v>422</v>
      </c>
      <c r="H23" s="130">
        <f t="shared" si="0"/>
        <v>422</v>
      </c>
      <c r="I23" s="130" t="s">
        <v>273</v>
      </c>
      <c r="J23" s="674">
        <v>43404</v>
      </c>
      <c r="L23" s="702" t="s">
        <v>582</v>
      </c>
      <c r="M23" s="884">
        <v>627</v>
      </c>
      <c r="N23" s="410">
        <v>594</v>
      </c>
      <c r="O23" s="410">
        <v>1221</v>
      </c>
      <c r="P23" s="410">
        <v>618</v>
      </c>
      <c r="Q23" s="410">
        <v>658</v>
      </c>
      <c r="R23" s="410">
        <v>1276</v>
      </c>
      <c r="S23" s="410">
        <v>537</v>
      </c>
      <c r="T23" s="410">
        <v>560</v>
      </c>
      <c r="U23" s="410">
        <v>1097</v>
      </c>
      <c r="V23" s="410">
        <v>782</v>
      </c>
      <c r="W23" s="410">
        <v>633</v>
      </c>
      <c r="X23" s="410">
        <v>1415</v>
      </c>
      <c r="Y23" s="410">
        <v>739</v>
      </c>
      <c r="Z23" s="410">
        <v>654</v>
      </c>
      <c r="AA23" s="410">
        <v>1393</v>
      </c>
      <c r="AB23" s="410">
        <v>105</v>
      </c>
      <c r="AC23" s="410">
        <v>104</v>
      </c>
      <c r="AD23" s="410">
        <v>209</v>
      </c>
      <c r="AE23" s="410">
        <v>6611</v>
      </c>
      <c r="AF23"/>
      <c r="AG23"/>
      <c r="AH23"/>
      <c r="AI23"/>
      <c r="AJ23"/>
      <c r="AK23"/>
      <c r="AL23"/>
      <c r="AM23"/>
      <c r="AN23"/>
      <c r="AO23"/>
      <c r="AP23"/>
      <c r="AQ23"/>
      <c r="AR23"/>
    </row>
    <row r="24" spans="1:44" ht="15" customHeight="1" x14ac:dyDescent="0.25">
      <c r="A24" s="387" t="s">
        <v>7</v>
      </c>
      <c r="B24" s="388" t="s">
        <v>17</v>
      </c>
      <c r="C24" s="130" t="s">
        <v>581</v>
      </c>
      <c r="D24" s="323" t="str">
        <f ca="1">IFERROR(OFFSET(Camp_List[P_Code],MATCH(Data_Demography_t[[#This Row],[Camp]],Camp_List[Camp Name],0)-1,0,1,1),"")</f>
        <v>MMR012CMP113</v>
      </c>
      <c r="E24" s="389" t="s">
        <v>830</v>
      </c>
      <c r="F24" s="390" t="s">
        <v>676</v>
      </c>
      <c r="G24" s="272">
        <v>753</v>
      </c>
      <c r="H24" s="130">
        <f t="shared" si="0"/>
        <v>-753</v>
      </c>
      <c r="I24" s="130" t="s">
        <v>273</v>
      </c>
      <c r="J24" s="674">
        <v>43404</v>
      </c>
      <c r="L24" s="340" t="s">
        <v>1054</v>
      </c>
      <c r="M24" s="884">
        <v>256</v>
      </c>
      <c r="N24" s="410">
        <v>229</v>
      </c>
      <c r="O24" s="410">
        <v>485</v>
      </c>
      <c r="P24" s="410">
        <v>206</v>
      </c>
      <c r="Q24" s="410">
        <v>225</v>
      </c>
      <c r="R24" s="410">
        <v>431</v>
      </c>
      <c r="S24" s="410">
        <v>157</v>
      </c>
      <c r="T24" s="410">
        <v>161</v>
      </c>
      <c r="U24" s="410">
        <v>318</v>
      </c>
      <c r="V24" s="410">
        <v>204</v>
      </c>
      <c r="W24" s="410">
        <v>166</v>
      </c>
      <c r="X24" s="410">
        <v>370</v>
      </c>
      <c r="Y24" s="410">
        <v>336</v>
      </c>
      <c r="Z24" s="410">
        <v>308</v>
      </c>
      <c r="AA24" s="410">
        <v>644</v>
      </c>
      <c r="AB24" s="410">
        <v>32</v>
      </c>
      <c r="AC24" s="410">
        <v>26</v>
      </c>
      <c r="AD24" s="410">
        <v>58</v>
      </c>
      <c r="AE24" s="410">
        <v>2306</v>
      </c>
      <c r="AF24"/>
      <c r="AG24"/>
      <c r="AH24"/>
      <c r="AI24"/>
      <c r="AJ24"/>
      <c r="AK24"/>
      <c r="AL24"/>
      <c r="AM24"/>
      <c r="AN24"/>
      <c r="AO24"/>
      <c r="AP24"/>
      <c r="AQ24"/>
      <c r="AR24"/>
    </row>
    <row r="25" spans="1:44" ht="15" customHeight="1" x14ac:dyDescent="0.25">
      <c r="A25" s="387" t="s">
        <v>7</v>
      </c>
      <c r="B25" s="388" t="s">
        <v>17</v>
      </c>
      <c r="C25" s="130" t="s">
        <v>581</v>
      </c>
      <c r="D25" s="323" t="str">
        <f ca="1">IFERROR(OFFSET(Camp_List[P_Code],MATCH(Data_Demography_t[[#This Row],[Camp]],Camp_List[Camp Name],0)-1,0,1,1),"")</f>
        <v>MMR012CMP113</v>
      </c>
      <c r="E25" s="389" t="s">
        <v>830</v>
      </c>
      <c r="F25" s="390" t="s">
        <v>677</v>
      </c>
      <c r="G25" s="272">
        <v>801</v>
      </c>
      <c r="H25" s="130">
        <f t="shared" si="0"/>
        <v>801</v>
      </c>
      <c r="I25" s="130" t="s">
        <v>273</v>
      </c>
      <c r="J25" s="674">
        <v>43404</v>
      </c>
      <c r="L25" s="340" t="s">
        <v>1055</v>
      </c>
      <c r="M25" s="884">
        <v>218</v>
      </c>
      <c r="N25" s="410">
        <v>239</v>
      </c>
      <c r="O25" s="410">
        <v>457</v>
      </c>
      <c r="P25" s="410">
        <v>184</v>
      </c>
      <c r="Q25" s="410">
        <v>193</v>
      </c>
      <c r="R25" s="410">
        <v>377</v>
      </c>
      <c r="S25" s="410">
        <v>140</v>
      </c>
      <c r="T25" s="410">
        <v>177</v>
      </c>
      <c r="U25" s="410">
        <v>317</v>
      </c>
      <c r="V25" s="410">
        <v>255</v>
      </c>
      <c r="W25" s="410">
        <v>149</v>
      </c>
      <c r="X25" s="410">
        <v>404</v>
      </c>
      <c r="Y25" s="410">
        <v>292</v>
      </c>
      <c r="Z25" s="410">
        <v>300</v>
      </c>
      <c r="AA25" s="410">
        <v>592</v>
      </c>
      <c r="AB25" s="410">
        <v>42</v>
      </c>
      <c r="AC25" s="410">
        <v>40</v>
      </c>
      <c r="AD25" s="410">
        <v>82</v>
      </c>
      <c r="AE25" s="410">
        <v>2229</v>
      </c>
      <c r="AF25"/>
      <c r="AG25"/>
      <c r="AH25"/>
      <c r="AI25"/>
      <c r="AJ25"/>
      <c r="AK25"/>
      <c r="AL25"/>
      <c r="AM25"/>
      <c r="AN25"/>
      <c r="AO25"/>
      <c r="AP25"/>
      <c r="AQ25"/>
      <c r="AR25"/>
    </row>
    <row r="26" spans="1:44" ht="15" customHeight="1" x14ac:dyDescent="0.25">
      <c r="A26" s="387" t="s">
        <v>7</v>
      </c>
      <c r="B26" s="388" t="s">
        <v>17</v>
      </c>
      <c r="C26" s="130" t="s">
        <v>581</v>
      </c>
      <c r="D26" s="323" t="str">
        <f ca="1">IFERROR(OFFSET(Camp_List[P_Code],MATCH(Data_Demography_t[[#This Row],[Camp]],Camp_List[Camp Name],0)-1,0,1,1),"")</f>
        <v>MMR012CMP113</v>
      </c>
      <c r="E26" s="389" t="s">
        <v>806</v>
      </c>
      <c r="F26" s="390" t="s">
        <v>676</v>
      </c>
      <c r="G26" s="272">
        <v>81</v>
      </c>
      <c r="H26" s="130">
        <f t="shared" si="0"/>
        <v>-81</v>
      </c>
      <c r="I26" s="130" t="s">
        <v>273</v>
      </c>
      <c r="J26" s="674">
        <v>43404</v>
      </c>
      <c r="L26" s="946" t="s">
        <v>814</v>
      </c>
      <c r="M26" s="884">
        <v>187</v>
      </c>
      <c r="N26" s="410">
        <v>194</v>
      </c>
      <c r="O26" s="410">
        <v>381</v>
      </c>
      <c r="P26" s="410">
        <v>221</v>
      </c>
      <c r="Q26" s="410">
        <v>262</v>
      </c>
      <c r="R26" s="410">
        <v>483</v>
      </c>
      <c r="S26" s="410">
        <v>244</v>
      </c>
      <c r="T26" s="410">
        <v>226</v>
      </c>
      <c r="U26" s="410">
        <v>470</v>
      </c>
      <c r="V26" s="410">
        <v>225</v>
      </c>
      <c r="W26" s="410">
        <v>188</v>
      </c>
      <c r="X26" s="410">
        <v>413</v>
      </c>
      <c r="Y26" s="410">
        <v>438</v>
      </c>
      <c r="Z26" s="410">
        <v>350</v>
      </c>
      <c r="AA26" s="410">
        <v>788</v>
      </c>
      <c r="AB26" s="410">
        <v>81</v>
      </c>
      <c r="AC26" s="410">
        <v>74</v>
      </c>
      <c r="AD26" s="410">
        <v>155</v>
      </c>
      <c r="AE26" s="410">
        <v>2690</v>
      </c>
      <c r="AF26"/>
      <c r="AG26"/>
      <c r="AH26"/>
      <c r="AI26"/>
      <c r="AJ26"/>
      <c r="AK26"/>
      <c r="AL26"/>
      <c r="AM26"/>
      <c r="AN26"/>
      <c r="AO26"/>
      <c r="AP26"/>
      <c r="AQ26"/>
    </row>
    <row r="27" spans="1:44" ht="15" customHeight="1" x14ac:dyDescent="0.25">
      <c r="A27" s="387" t="s">
        <v>7</v>
      </c>
      <c r="B27" s="388" t="s">
        <v>17</v>
      </c>
      <c r="C27" s="130" t="s">
        <v>581</v>
      </c>
      <c r="D27" s="323" t="str">
        <f ca="1">IFERROR(OFFSET(Camp_List[P_Code],MATCH(Data_Demography_t[[#This Row],[Camp]],Camp_List[Camp Name],0)-1,0,1,1),"")</f>
        <v>MMR012CMP113</v>
      </c>
      <c r="E27" s="389" t="s">
        <v>806</v>
      </c>
      <c r="F27" s="390" t="s">
        <v>677</v>
      </c>
      <c r="G27" s="272">
        <v>84</v>
      </c>
      <c r="H27" s="130">
        <f t="shared" si="0"/>
        <v>84</v>
      </c>
      <c r="I27" s="130" t="s">
        <v>273</v>
      </c>
      <c r="J27" s="674">
        <v>43404</v>
      </c>
      <c r="L27" s="703" t="s">
        <v>36</v>
      </c>
      <c r="M27" s="884">
        <v>187</v>
      </c>
      <c r="N27" s="410">
        <v>194</v>
      </c>
      <c r="O27" s="410">
        <v>381</v>
      </c>
      <c r="P27" s="410">
        <v>221</v>
      </c>
      <c r="Q27" s="410">
        <v>262</v>
      </c>
      <c r="R27" s="410">
        <v>483</v>
      </c>
      <c r="S27" s="410">
        <v>244</v>
      </c>
      <c r="T27" s="410">
        <v>226</v>
      </c>
      <c r="U27" s="410">
        <v>470</v>
      </c>
      <c r="V27" s="410">
        <v>225</v>
      </c>
      <c r="W27" s="410">
        <v>188</v>
      </c>
      <c r="X27" s="410">
        <v>413</v>
      </c>
      <c r="Y27" s="410">
        <v>438</v>
      </c>
      <c r="Z27" s="410">
        <v>350</v>
      </c>
      <c r="AA27" s="410">
        <v>788</v>
      </c>
      <c r="AB27" s="410">
        <v>81</v>
      </c>
      <c r="AC27" s="410">
        <v>74</v>
      </c>
      <c r="AD27" s="410">
        <v>155</v>
      </c>
      <c r="AE27" s="410">
        <v>2690</v>
      </c>
      <c r="AF27"/>
      <c r="AG27"/>
      <c r="AH27"/>
      <c r="AI27"/>
      <c r="AJ27"/>
      <c r="AK27"/>
      <c r="AL27"/>
      <c r="AM27"/>
      <c r="AN27"/>
    </row>
    <row r="28" spans="1:44" ht="15" customHeight="1" x14ac:dyDescent="0.25">
      <c r="A28" s="387" t="s">
        <v>7</v>
      </c>
      <c r="B28" s="388" t="s">
        <v>17</v>
      </c>
      <c r="C28" s="130" t="s">
        <v>582</v>
      </c>
      <c r="D28" s="323" t="str">
        <f ca="1">IFERROR(OFFSET(Camp_List[P_Code],MATCH(Data_Demography_t[[#This Row],[Camp]],Camp_List[Camp Name],0)-1,0,1,1),"")</f>
        <v>MMR012CMP114</v>
      </c>
      <c r="E28" s="389" t="s">
        <v>1038</v>
      </c>
      <c r="F28" s="390" t="s">
        <v>676</v>
      </c>
      <c r="G28" s="863">
        <v>594</v>
      </c>
      <c r="H28" s="130">
        <f t="shared" si="0"/>
        <v>-594</v>
      </c>
      <c r="I28" s="130" t="s">
        <v>273</v>
      </c>
      <c r="J28" s="674">
        <v>43373</v>
      </c>
      <c r="L28" s="945" t="s">
        <v>204</v>
      </c>
      <c r="M28" s="410">
        <v>11758</v>
      </c>
      <c r="N28" s="410">
        <v>12006.964797472639</v>
      </c>
      <c r="O28" s="410">
        <v>23764.964797472639</v>
      </c>
      <c r="P28" s="410">
        <v>10771</v>
      </c>
      <c r="Q28" s="410">
        <v>11709.222159539659</v>
      </c>
      <c r="R28" s="410">
        <v>22480.222159539659</v>
      </c>
      <c r="S28" s="410">
        <v>8599</v>
      </c>
      <c r="T28" s="410">
        <v>9184.9377186054371</v>
      </c>
      <c r="U28" s="410">
        <v>17783.937718605441</v>
      </c>
      <c r="V28" s="410">
        <v>12236.711384407085</v>
      </c>
      <c r="W28" s="410">
        <v>9226</v>
      </c>
      <c r="X28" s="410">
        <v>21462.711384407085</v>
      </c>
      <c r="Y28" s="410">
        <v>15411.765542141487</v>
      </c>
      <c r="Z28" s="410">
        <v>14416</v>
      </c>
      <c r="AA28" s="410">
        <v>29827.765542141486</v>
      </c>
      <c r="AB28" s="410">
        <v>2212</v>
      </c>
      <c r="AC28" s="410">
        <v>2192</v>
      </c>
      <c r="AD28" s="410">
        <v>4404</v>
      </c>
      <c r="AE28" s="410">
        <v>119723.60160216631</v>
      </c>
    </row>
    <row r="29" spans="1:44" ht="15" customHeight="1" x14ac:dyDescent="0.25">
      <c r="A29" s="387" t="s">
        <v>7</v>
      </c>
      <c r="B29" s="388" t="s">
        <v>17</v>
      </c>
      <c r="C29" s="130" t="s">
        <v>582</v>
      </c>
      <c r="D29" s="323" t="str">
        <f ca="1">IFERROR(OFFSET(Camp_List[P_Code],MATCH(Data_Demography_t[[#This Row],[Camp]],Camp_List[Camp Name],0)-1,0,1,1),"")</f>
        <v>MMR012CMP114</v>
      </c>
      <c r="E29" s="389" t="s">
        <v>1038</v>
      </c>
      <c r="F29" s="390" t="s">
        <v>677</v>
      </c>
      <c r="G29" s="863">
        <v>627</v>
      </c>
      <c r="H29" s="130">
        <f t="shared" si="0"/>
        <v>627</v>
      </c>
      <c r="I29" s="130" t="s">
        <v>273</v>
      </c>
      <c r="J29" s="674">
        <v>43373</v>
      </c>
      <c r="L29"/>
      <c r="M29"/>
      <c r="N29"/>
      <c r="O29"/>
      <c r="P29"/>
      <c r="Q29"/>
      <c r="R29"/>
      <c r="S29"/>
      <c r="T29"/>
      <c r="U29"/>
      <c r="V29"/>
      <c r="W29"/>
      <c r="X29"/>
      <c r="Y29"/>
      <c r="Z29"/>
      <c r="AA29"/>
      <c r="AB29"/>
      <c r="AC29"/>
      <c r="AD29"/>
      <c r="AE29" s="16"/>
      <c r="AF29" s="16"/>
      <c r="AG29" s="16"/>
      <c r="AH29" s="16"/>
    </row>
    <row r="30" spans="1:44" ht="15" customHeight="1" x14ac:dyDescent="0.25">
      <c r="A30" s="387" t="s">
        <v>7</v>
      </c>
      <c r="B30" s="388" t="s">
        <v>17</v>
      </c>
      <c r="C30" s="130" t="s">
        <v>582</v>
      </c>
      <c r="D30" s="323" t="str">
        <f ca="1">IFERROR(OFFSET(Camp_List[P_Code],MATCH(Data_Demography_t[[#This Row],[Camp]],Camp_List[Camp Name],0)-1,0,1,1),"")</f>
        <v>MMR012CMP114</v>
      </c>
      <c r="E30" s="389" t="s">
        <v>828</v>
      </c>
      <c r="F30" s="390" t="s">
        <v>676</v>
      </c>
      <c r="G30" s="863">
        <v>658</v>
      </c>
      <c r="H30" s="130">
        <f t="shared" si="0"/>
        <v>-658</v>
      </c>
      <c r="I30" s="130" t="s">
        <v>273</v>
      </c>
      <c r="J30" s="674">
        <v>43373</v>
      </c>
      <c r="L30" s="170" t="s">
        <v>1</v>
      </c>
      <c r="M30" s="646" t="s">
        <v>604</v>
      </c>
      <c r="P30" s="645"/>
      <c r="Q30"/>
      <c r="R30"/>
      <c r="S30"/>
      <c r="T30"/>
      <c r="U30"/>
      <c r="V30"/>
      <c r="W30"/>
      <c r="X30"/>
      <c r="Y30"/>
      <c r="Z30"/>
      <c r="AA30"/>
      <c r="AB30"/>
      <c r="AC30"/>
      <c r="AD30"/>
      <c r="AE30" s="16"/>
      <c r="AF30" s="16"/>
      <c r="AG30" s="16"/>
      <c r="AH30" s="16"/>
    </row>
    <row r="31" spans="1:44" ht="15" customHeight="1" x14ac:dyDescent="0.25">
      <c r="A31" s="387" t="s">
        <v>7</v>
      </c>
      <c r="B31" s="388" t="s">
        <v>17</v>
      </c>
      <c r="C31" s="130" t="s">
        <v>582</v>
      </c>
      <c r="D31" s="323" t="str">
        <f ca="1">IFERROR(OFFSET(Camp_List[P_Code],MATCH(Data_Demography_t[[#This Row],[Camp]],Camp_List[Camp Name],0)-1,0,1,1),"")</f>
        <v>MMR012CMP114</v>
      </c>
      <c r="E31" s="389" t="s">
        <v>828</v>
      </c>
      <c r="F31" s="390" t="s">
        <v>677</v>
      </c>
      <c r="G31" s="863">
        <v>618</v>
      </c>
      <c r="H31" s="130">
        <f t="shared" si="0"/>
        <v>618</v>
      </c>
      <c r="I31" s="130" t="s">
        <v>273</v>
      </c>
      <c r="J31" s="674">
        <v>43373</v>
      </c>
      <c r="L31" s="244" t="s">
        <v>492</v>
      </c>
      <c r="M31" s="89" t="s">
        <v>604</v>
      </c>
      <c r="N31"/>
      <c r="O31"/>
      <c r="P31"/>
      <c r="Q31"/>
      <c r="R31"/>
      <c r="S31"/>
      <c r="T31"/>
      <c r="U31"/>
      <c r="V31"/>
      <c r="W31"/>
      <c r="X31"/>
      <c r="Y31"/>
      <c r="Z31"/>
      <c r="AA31"/>
      <c r="AB31"/>
      <c r="AC31"/>
      <c r="AD31"/>
      <c r="AE31" s="16"/>
      <c r="AF31" s="16"/>
      <c r="AG31" s="16"/>
      <c r="AH31" s="16"/>
    </row>
    <row r="32" spans="1:44" s="645" customFormat="1" ht="15" customHeight="1" x14ac:dyDescent="0.25">
      <c r="A32" s="387" t="s">
        <v>7</v>
      </c>
      <c r="B32" s="388" t="s">
        <v>17</v>
      </c>
      <c r="C32" s="130" t="s">
        <v>582</v>
      </c>
      <c r="D32" s="323" t="str">
        <f ca="1">IFERROR(OFFSET(Camp_List[P_Code],MATCH(Data_Demography_t[[#This Row],[Camp]],Camp_List[Camp Name],0)-1,0,1,1),"")</f>
        <v>MMR012CMP114</v>
      </c>
      <c r="E32" s="389" t="s">
        <v>607</v>
      </c>
      <c r="F32" s="390" t="s">
        <v>676</v>
      </c>
      <c r="G32" s="863">
        <v>560</v>
      </c>
      <c r="H32" s="130">
        <f t="shared" si="0"/>
        <v>-560</v>
      </c>
      <c r="I32" s="130" t="s">
        <v>273</v>
      </c>
      <c r="J32" s="674">
        <v>43373</v>
      </c>
      <c r="K32" s="268"/>
      <c r="L32"/>
      <c r="M32"/>
      <c r="N32"/>
      <c r="O32"/>
      <c r="P32"/>
      <c r="Q32"/>
      <c r="R32"/>
      <c r="S32"/>
      <c r="T32"/>
      <c r="U32"/>
      <c r="V32"/>
      <c r="W32"/>
      <c r="X32"/>
      <c r="Y32"/>
      <c r="Z32"/>
      <c r="AA32"/>
      <c r="AB32"/>
      <c r="AC32"/>
      <c r="AD32"/>
      <c r="AE32" s="16"/>
      <c r="AF32" s="16"/>
      <c r="AG32" s="16"/>
      <c r="AH32" s="16"/>
    </row>
    <row r="33" spans="1:34" s="645" customFormat="1" ht="15" customHeight="1" x14ac:dyDescent="0.25">
      <c r="A33" s="387" t="s">
        <v>7</v>
      </c>
      <c r="B33" s="388" t="s">
        <v>17</v>
      </c>
      <c r="C33" s="130" t="s">
        <v>582</v>
      </c>
      <c r="D33" s="323" t="str">
        <f ca="1">IFERROR(OFFSET(Camp_List[P_Code],MATCH(Data_Demography_t[[#This Row],[Camp]],Camp_List[Camp Name],0)-1,0,1,1),"")</f>
        <v>MMR012CMP114</v>
      </c>
      <c r="E33" s="389" t="s">
        <v>607</v>
      </c>
      <c r="F33" s="390" t="s">
        <v>677</v>
      </c>
      <c r="G33" s="863">
        <v>537</v>
      </c>
      <c r="H33" s="130">
        <f t="shared" si="0"/>
        <v>537</v>
      </c>
      <c r="I33" s="130" t="s">
        <v>273</v>
      </c>
      <c r="J33" s="674">
        <v>43373</v>
      </c>
      <c r="K33" s="268"/>
      <c r="L33" s="170" t="s">
        <v>683</v>
      </c>
      <c r="M33" s="170" t="s">
        <v>616</v>
      </c>
      <c r="N33" s="167"/>
      <c r="O33"/>
      <c r="P33" s="78"/>
      <c r="AE33" s="16"/>
      <c r="AF33" s="16"/>
      <c r="AG33" s="16"/>
      <c r="AH33" s="16"/>
    </row>
    <row r="34" spans="1:34" ht="15" customHeight="1" x14ac:dyDescent="0.25">
      <c r="A34" s="387" t="s">
        <v>7</v>
      </c>
      <c r="B34" s="388" t="s">
        <v>17</v>
      </c>
      <c r="C34" s="130" t="s">
        <v>582</v>
      </c>
      <c r="D34" s="323" t="str">
        <f ca="1">IFERROR(OFFSET(Camp_List[P_Code],MATCH(Data_Demography_t[[#This Row],[Camp]],Camp_List[Camp Name],0)-1,0,1,1),"")</f>
        <v>MMR012CMP114</v>
      </c>
      <c r="E34" s="389" t="s">
        <v>829</v>
      </c>
      <c r="F34" s="390" t="s">
        <v>676</v>
      </c>
      <c r="G34" s="863">
        <v>633</v>
      </c>
      <c r="H34" s="130">
        <f t="shared" si="0"/>
        <v>-633</v>
      </c>
      <c r="I34" s="130" t="s">
        <v>273</v>
      </c>
      <c r="J34" s="674">
        <v>43373</v>
      </c>
      <c r="L34" s="170" t="s">
        <v>203</v>
      </c>
      <c r="M34" s="42" t="s">
        <v>677</v>
      </c>
      <c r="N34" s="245" t="s">
        <v>676</v>
      </c>
      <c r="O34" s="875" t="s">
        <v>1011</v>
      </c>
      <c r="Q34"/>
      <c r="R34"/>
      <c r="S34"/>
      <c r="T34"/>
      <c r="U34"/>
      <c r="V34"/>
      <c r="W34"/>
      <c r="X34"/>
      <c r="Y34"/>
      <c r="Z34"/>
      <c r="AA34"/>
      <c r="AB34"/>
      <c r="AE34" s="16"/>
      <c r="AF34" s="16"/>
      <c r="AG34" s="16"/>
      <c r="AH34" s="16"/>
    </row>
    <row r="35" spans="1:34" ht="15" customHeight="1" x14ac:dyDescent="0.25">
      <c r="A35" s="387" t="s">
        <v>7</v>
      </c>
      <c r="B35" s="388" t="s">
        <v>17</v>
      </c>
      <c r="C35" s="130" t="s">
        <v>582</v>
      </c>
      <c r="D35" s="323" t="str">
        <f ca="1">IFERROR(OFFSET(Camp_List[P_Code],MATCH(Data_Demography_t[[#This Row],[Camp]],Camp_List[Camp Name],0)-1,0,1,1),"")</f>
        <v>MMR012CMP114</v>
      </c>
      <c r="E35" s="389" t="s">
        <v>829</v>
      </c>
      <c r="F35" s="390" t="s">
        <v>677</v>
      </c>
      <c r="G35" s="863">
        <v>782</v>
      </c>
      <c r="H35" s="130">
        <f t="shared" si="0"/>
        <v>782</v>
      </c>
      <c r="I35" s="130" t="s">
        <v>273</v>
      </c>
      <c r="J35" s="674">
        <v>43373</v>
      </c>
      <c r="L35" s="945" t="s">
        <v>806</v>
      </c>
      <c r="M35" s="882">
        <v>2212</v>
      </c>
      <c r="N35" s="882">
        <v>-2192</v>
      </c>
      <c r="O35" s="883">
        <f>-(GETPIVOTDATA("Total2",$L$33,"Age_Cat","60+","Sex","M"))</f>
        <v>2192</v>
      </c>
      <c r="P35" s="35">
        <f>-GETPIVOTDATA("Total2",$L$33,"Age_Cat","60+","Sex","M")</f>
        <v>2192</v>
      </c>
      <c r="Q35"/>
      <c r="R35"/>
      <c r="S35"/>
      <c r="T35"/>
      <c r="U35"/>
      <c r="V35"/>
      <c r="W35"/>
      <c r="X35"/>
      <c r="Y35"/>
      <c r="Z35"/>
      <c r="AA35"/>
      <c r="AB35"/>
      <c r="AE35" s="16"/>
      <c r="AF35" s="16"/>
      <c r="AG35" s="16"/>
      <c r="AH35" s="16"/>
    </row>
    <row r="36" spans="1:34" ht="15" customHeight="1" x14ac:dyDescent="0.25">
      <c r="A36" s="387" t="s">
        <v>7</v>
      </c>
      <c r="B36" s="388" t="s">
        <v>17</v>
      </c>
      <c r="C36" s="130" t="s">
        <v>582</v>
      </c>
      <c r="D36" s="323" t="str">
        <f ca="1">IFERROR(OFFSET(Camp_List[P_Code],MATCH(Data_Demography_t[[#This Row],[Camp]],Camp_List[Camp Name],0)-1,0,1,1),"")</f>
        <v>MMR012CMP114</v>
      </c>
      <c r="E36" s="389" t="s">
        <v>830</v>
      </c>
      <c r="F36" s="390" t="s">
        <v>676</v>
      </c>
      <c r="G36" s="863">
        <v>654</v>
      </c>
      <c r="H36" s="130">
        <f t="shared" si="0"/>
        <v>-654</v>
      </c>
      <c r="I36" s="130" t="s">
        <v>273</v>
      </c>
      <c r="J36" s="674">
        <v>43373</v>
      </c>
      <c r="L36" s="946" t="s">
        <v>830</v>
      </c>
      <c r="M36" s="410">
        <v>15411.765542141487</v>
      </c>
      <c r="N36" s="410">
        <v>-14416</v>
      </c>
      <c r="O36" s="883">
        <f>-(GETPIVOTDATA("Total2",$L$33,"Age_Cat","26 to 59","Sex","M"))</f>
        <v>14416</v>
      </c>
      <c r="P36" s="35">
        <f>-GETPIVOTDATA("Total2",$L$33,"Age_Cat","26 to 59","Sex","M")</f>
        <v>14416</v>
      </c>
      <c r="Q36"/>
      <c r="R36"/>
      <c r="S36"/>
      <c r="T36"/>
      <c r="U36"/>
      <c r="V36"/>
      <c r="W36"/>
      <c r="X36"/>
      <c r="Y36"/>
      <c r="Z36"/>
      <c r="AA36"/>
      <c r="AB36"/>
      <c r="AE36" s="16"/>
      <c r="AF36" s="16"/>
      <c r="AG36" s="16"/>
      <c r="AH36" s="16"/>
    </row>
    <row r="37" spans="1:34" ht="15" customHeight="1" x14ac:dyDescent="0.25">
      <c r="A37" s="387" t="s">
        <v>7</v>
      </c>
      <c r="B37" s="388" t="s">
        <v>17</v>
      </c>
      <c r="C37" s="130" t="s">
        <v>582</v>
      </c>
      <c r="D37" s="323" t="str">
        <f ca="1">IFERROR(OFFSET(Camp_List[P_Code],MATCH(Data_Demography_t[[#This Row],[Camp]],Camp_List[Camp Name],0)-1,0,1,1),"")</f>
        <v>MMR012CMP114</v>
      </c>
      <c r="E37" s="389" t="s">
        <v>830</v>
      </c>
      <c r="F37" s="390" t="s">
        <v>677</v>
      </c>
      <c r="G37" s="863">
        <v>739</v>
      </c>
      <c r="H37" s="130">
        <f t="shared" si="0"/>
        <v>739</v>
      </c>
      <c r="I37" s="130" t="s">
        <v>273</v>
      </c>
      <c r="J37" s="674">
        <v>43373</v>
      </c>
      <c r="L37" s="946" t="s">
        <v>829</v>
      </c>
      <c r="M37" s="410">
        <v>12236.711384407085</v>
      </c>
      <c r="N37" s="410">
        <v>-9226</v>
      </c>
      <c r="O37" s="883">
        <f>-(GETPIVOTDATA("Total2",$L$33,"Age_Cat","18 to 25","Sex","M"))</f>
        <v>9226</v>
      </c>
      <c r="P37" s="35">
        <f>-GETPIVOTDATA("Total2",$L$33,"Age_Cat","18 to 25","Sex","M")</f>
        <v>9226</v>
      </c>
      <c r="Q37"/>
      <c r="R37"/>
      <c r="AE37" s="16"/>
      <c r="AF37" s="16"/>
      <c r="AG37" s="16"/>
      <c r="AH37" s="16"/>
    </row>
    <row r="38" spans="1:34" ht="15" customHeight="1" x14ac:dyDescent="0.25">
      <c r="A38" s="387" t="s">
        <v>7</v>
      </c>
      <c r="B38" s="388" t="s">
        <v>17</v>
      </c>
      <c r="C38" s="130" t="s">
        <v>582</v>
      </c>
      <c r="D38" s="323" t="str">
        <f ca="1">IFERROR(OFFSET(Camp_List[P_Code],MATCH(Data_Demography_t[[#This Row],[Camp]],Camp_List[Camp Name],0)-1,0,1,1),"")</f>
        <v>MMR012CMP114</v>
      </c>
      <c r="E38" s="389" t="s">
        <v>806</v>
      </c>
      <c r="F38" s="390" t="s">
        <v>676</v>
      </c>
      <c r="G38" s="863">
        <v>104</v>
      </c>
      <c r="H38" s="130">
        <f t="shared" si="0"/>
        <v>-104</v>
      </c>
      <c r="I38" s="130" t="s">
        <v>273</v>
      </c>
      <c r="J38" s="674">
        <v>43373</v>
      </c>
      <c r="L38" s="946" t="s">
        <v>607</v>
      </c>
      <c r="M38" s="410">
        <v>8599</v>
      </c>
      <c r="N38" s="410">
        <v>-9184.9377186054389</v>
      </c>
      <c r="O38" s="883">
        <f>-(GETPIVOTDATA("Total2",$L$33,"Age_Cat","12 to 17","Sex","M"))</f>
        <v>9184.9377186054389</v>
      </c>
      <c r="P38" s="35">
        <f>-GETPIVOTDATA("Total2",$L$33,"Age_Cat","12 to 17","Sex","M")</f>
        <v>9184.9377186054389</v>
      </c>
      <c r="Q38"/>
      <c r="R38"/>
      <c r="AE38" s="16"/>
      <c r="AF38" s="16"/>
      <c r="AG38" s="16"/>
      <c r="AH38" s="16"/>
    </row>
    <row r="39" spans="1:34" ht="15" customHeight="1" x14ac:dyDescent="0.25">
      <c r="A39" s="387" t="s">
        <v>7</v>
      </c>
      <c r="B39" s="388" t="s">
        <v>17</v>
      </c>
      <c r="C39" s="130" t="s">
        <v>582</v>
      </c>
      <c r="D39" s="323" t="str">
        <f ca="1">IFERROR(OFFSET(Camp_List[P_Code],MATCH(Data_Demography_t[[#This Row],[Camp]],Camp_List[Camp Name],0)-1,0,1,1),"")</f>
        <v>MMR012CMP114</v>
      </c>
      <c r="E39" s="389" t="s">
        <v>806</v>
      </c>
      <c r="F39" s="390" t="s">
        <v>677</v>
      </c>
      <c r="G39" s="863">
        <v>105</v>
      </c>
      <c r="H39" s="130">
        <f t="shared" si="0"/>
        <v>105</v>
      </c>
      <c r="I39" s="130" t="s">
        <v>273</v>
      </c>
      <c r="J39" s="674">
        <v>43373</v>
      </c>
      <c r="L39" s="946" t="s">
        <v>828</v>
      </c>
      <c r="M39" s="410">
        <v>10771</v>
      </c>
      <c r="N39" s="410">
        <v>-11709.222159539659</v>
      </c>
      <c r="O39" s="883">
        <f>-(GETPIVOTDATA("Total2",$L$33,"Age_Cat","6 to 11","Sex","M"))</f>
        <v>11709.222159539659</v>
      </c>
      <c r="P39" s="35">
        <f>-GETPIVOTDATA("Total2",$L$33,"Age_Cat","6 to 11","Sex","M")</f>
        <v>11709.222159539659</v>
      </c>
      <c r="AE39" s="16"/>
      <c r="AF39" s="16"/>
      <c r="AG39" s="16"/>
      <c r="AH39" s="16"/>
    </row>
    <row r="40" spans="1:34" ht="15" customHeight="1" x14ac:dyDescent="0.25">
      <c r="A40" s="387" t="s">
        <v>7</v>
      </c>
      <c r="B40" s="388" t="s">
        <v>17</v>
      </c>
      <c r="C40" s="130" t="s">
        <v>61</v>
      </c>
      <c r="D40" s="323" t="str">
        <f ca="1">IFERROR(OFFSET(Camp_List[P_Code],MATCH(Data_Demography_t[[#This Row],[Camp]],Camp_List[Camp Name],0)-1,0,1,1),"")</f>
        <v>MMR012CMP041</v>
      </c>
      <c r="E40" s="276" t="s">
        <v>1038</v>
      </c>
      <c r="F40" s="390" t="s">
        <v>676</v>
      </c>
      <c r="G40" s="272">
        <v>1017.9647974726391</v>
      </c>
      <c r="H40" s="881">
        <f t="shared" si="0"/>
        <v>-1017.9647974726391</v>
      </c>
      <c r="I40" s="313" t="s">
        <v>273</v>
      </c>
      <c r="J40" s="674">
        <v>43373</v>
      </c>
      <c r="L40" s="946" t="s">
        <v>1038</v>
      </c>
      <c r="M40" s="410">
        <v>11758</v>
      </c>
      <c r="N40" s="410">
        <v>-12006.964797472639</v>
      </c>
      <c r="O40" s="883">
        <f>-(GETPIVOTDATA("Total2",$L$33,"Age_Cat","0-5","Sex","M"))</f>
        <v>12006.964797472639</v>
      </c>
      <c r="P40" s="35">
        <f>-GETPIVOTDATA("Total2",$L$33,"Age_Cat","0-5","Sex","M")</f>
        <v>12006.964797472639</v>
      </c>
      <c r="AE40" s="16"/>
      <c r="AF40" s="16"/>
      <c r="AG40" s="16"/>
      <c r="AH40" s="16"/>
    </row>
    <row r="41" spans="1:34" ht="15" customHeight="1" x14ac:dyDescent="0.25">
      <c r="A41" s="387" t="s">
        <v>7</v>
      </c>
      <c r="B41" s="388" t="s">
        <v>17</v>
      </c>
      <c r="C41" s="130" t="s">
        <v>61</v>
      </c>
      <c r="D41" s="323" t="str">
        <f ca="1">IFERROR(OFFSET(Camp_List[P_Code],MATCH(Data_Demography_t[[#This Row],[Camp]],Camp_List[Camp Name],0)-1,0,1,1),"")</f>
        <v>MMR012CMP041</v>
      </c>
      <c r="E41" s="276" t="s">
        <v>1038</v>
      </c>
      <c r="F41" s="390" t="s">
        <v>677</v>
      </c>
      <c r="G41" s="272">
        <v>963</v>
      </c>
      <c r="H41" s="881">
        <f t="shared" si="0"/>
        <v>963</v>
      </c>
      <c r="I41" s="313" t="s">
        <v>273</v>
      </c>
      <c r="J41" s="674">
        <v>43373</v>
      </c>
      <c r="L41" s="945" t="s">
        <v>204</v>
      </c>
      <c r="M41" s="882">
        <v>60988.476926548574</v>
      </c>
      <c r="N41" s="882">
        <v>-58735.124675617742</v>
      </c>
      <c r="O41" s="883">
        <f>-(GETPIVOTDATA("Total2",$L$33,"Sex","M"))</f>
        <v>58735.124675617742</v>
      </c>
      <c r="P41" s="35">
        <f>-GETPIVOTDATA("Total2",$L$33,"Sex","M")</f>
        <v>58735.124675617742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89" t="s">
        <v>828</v>
      </c>
      <c r="F42" s="275" t="s">
        <v>676</v>
      </c>
      <c r="G42" s="272">
        <v>1078.2221595396593</v>
      </c>
      <c r="H42" s="881">
        <f t="shared" si="0"/>
        <v>-1078.2221595396593</v>
      </c>
      <c r="I42" s="275" t="s">
        <v>273</v>
      </c>
      <c r="J42" s="674">
        <v>43373</v>
      </c>
      <c r="L42"/>
      <c r="M42"/>
      <c r="N42"/>
      <c r="O42"/>
      <c r="P42" s="676">
        <f>-(GETPIVOTDATA("Total2",$L$33,"Sex","M"))</f>
        <v>58735.124675617742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89" t="s">
        <v>828</v>
      </c>
      <c r="F43" s="311" t="s">
        <v>677</v>
      </c>
      <c r="G43" s="272">
        <v>1087</v>
      </c>
      <c r="H43" s="881">
        <f t="shared" si="0"/>
        <v>1087</v>
      </c>
      <c r="I43" s="275" t="s">
        <v>273</v>
      </c>
      <c r="J43" s="674">
        <v>43373</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63">
        <v>926.93771860543836</v>
      </c>
      <c r="H44" s="881">
        <f t="shared" si="0"/>
        <v>-926.93771860543836</v>
      </c>
      <c r="I44" s="275" t="s">
        <v>273</v>
      </c>
      <c r="J44" s="674">
        <v>43373</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63">
        <v>956</v>
      </c>
      <c r="H45" s="881">
        <f t="shared" si="0"/>
        <v>956</v>
      </c>
      <c r="I45" s="275" t="s">
        <v>273</v>
      </c>
      <c r="J45" s="674">
        <v>43373</v>
      </c>
      <c r="L45"/>
      <c r="M45"/>
      <c r="N45"/>
      <c r="O45"/>
      <c r="AE45" s="16"/>
      <c r="AF45" s="16"/>
      <c r="AG45" s="16"/>
      <c r="AH45" s="16"/>
    </row>
    <row r="46" spans="1:34" s="645" customFormat="1" ht="15" customHeight="1" x14ac:dyDescent="0.25">
      <c r="A46" s="274" t="s">
        <v>7</v>
      </c>
      <c r="B46" s="271" t="s">
        <v>17</v>
      </c>
      <c r="C46" s="275" t="s">
        <v>61</v>
      </c>
      <c r="D46" s="323" t="str">
        <f ca="1">IFERROR(OFFSET(Camp_List[P_Code],MATCH(Data_Demography_t[[#This Row],[Camp]],Camp_List[Camp Name],0)-1,0,1,1),"")</f>
        <v>MMR012CMP041</v>
      </c>
      <c r="E46" s="276" t="s">
        <v>829</v>
      </c>
      <c r="F46" s="275" t="s">
        <v>676</v>
      </c>
      <c r="G46" s="272">
        <v>947</v>
      </c>
      <c r="H46" s="881">
        <f t="shared" si="0"/>
        <v>-947</v>
      </c>
      <c r="I46" s="275" t="s">
        <v>273</v>
      </c>
      <c r="J46" s="674">
        <v>43373</v>
      </c>
      <c r="K46" s="268"/>
      <c r="L46"/>
      <c r="M46"/>
      <c r="N46"/>
      <c r="AE46" s="16"/>
      <c r="AF46" s="16"/>
      <c r="AG46" s="16"/>
      <c r="AH46" s="16"/>
    </row>
    <row r="47" spans="1:34" s="645" customFormat="1" ht="15" customHeight="1" x14ac:dyDescent="0.25">
      <c r="A47" s="274" t="s">
        <v>7</v>
      </c>
      <c r="B47" s="271" t="s">
        <v>17</v>
      </c>
      <c r="C47" s="275" t="s">
        <v>61</v>
      </c>
      <c r="D47" s="323" t="str">
        <f ca="1">IFERROR(OFFSET(Camp_List[P_Code],MATCH(Data_Demography_t[[#This Row],[Camp]],Camp_List[Camp Name],0)-1,0,1,1),"")</f>
        <v>MMR012CMP041</v>
      </c>
      <c r="E47" s="276" t="s">
        <v>829</v>
      </c>
      <c r="F47" s="311" t="s">
        <v>677</v>
      </c>
      <c r="G47" s="272">
        <v>1207.7113844070857</v>
      </c>
      <c r="H47" s="881">
        <f t="shared" si="0"/>
        <v>1207.7113844070857</v>
      </c>
      <c r="I47" s="275" t="s">
        <v>273</v>
      </c>
      <c r="J47" s="674">
        <v>43373</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830</v>
      </c>
      <c r="F48" s="275" t="s">
        <v>676</v>
      </c>
      <c r="G48" s="272">
        <v>1321</v>
      </c>
      <c r="H48" s="881">
        <f t="shared" si="0"/>
        <v>-1321</v>
      </c>
      <c r="I48" s="275" t="s">
        <v>273</v>
      </c>
      <c r="J48" s="674">
        <v>43373</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830</v>
      </c>
      <c r="F49" s="311" t="s">
        <v>677</v>
      </c>
      <c r="G49" s="272">
        <v>1389.765542141487</v>
      </c>
      <c r="H49" s="881">
        <f t="shared" si="0"/>
        <v>1389.765542141487</v>
      </c>
      <c r="I49" s="275" t="s">
        <v>273</v>
      </c>
      <c r="J49" s="674">
        <v>43373</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806</v>
      </c>
      <c r="F50" s="275" t="s">
        <v>676</v>
      </c>
      <c r="G50" s="272">
        <v>234</v>
      </c>
      <c r="H50" s="881">
        <f t="shared" si="0"/>
        <v>-234</v>
      </c>
      <c r="I50" s="275" t="s">
        <v>273</v>
      </c>
      <c r="J50" s="674">
        <v>43373</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806</v>
      </c>
      <c r="F51" s="311" t="s">
        <v>677</v>
      </c>
      <c r="G51" s="272">
        <v>234</v>
      </c>
      <c r="H51" s="881">
        <f t="shared" si="0"/>
        <v>234</v>
      </c>
      <c r="I51" s="275" t="s">
        <v>273</v>
      </c>
      <c r="J51" s="674">
        <v>43373</v>
      </c>
      <c r="L51"/>
      <c r="M51"/>
      <c r="N51"/>
    </row>
    <row r="52" spans="1:16" ht="15" customHeight="1" x14ac:dyDescent="0.25">
      <c r="A52" s="274" t="s">
        <v>7</v>
      </c>
      <c r="B52" s="271" t="s">
        <v>17</v>
      </c>
      <c r="C52" s="271" t="s">
        <v>1054</v>
      </c>
      <c r="D52" s="323" t="str">
        <f ca="1">IFERROR(OFFSET(Camp_List[P_Code],MATCH(Data_Demography_t[[#This Row],[Camp]],Camp_List[Camp Name],0)-1,0,1,1),"")</f>
        <v>MMR012CMP042</v>
      </c>
      <c r="E52" s="389" t="s">
        <v>1038</v>
      </c>
      <c r="F52" s="287" t="s">
        <v>676</v>
      </c>
      <c r="G52" s="322">
        <v>229</v>
      </c>
      <c r="H52" s="130">
        <f t="shared" si="0"/>
        <v>-229</v>
      </c>
      <c r="I52" s="271" t="s">
        <v>575</v>
      </c>
      <c r="J52" s="673">
        <v>43373</v>
      </c>
      <c r="L52"/>
      <c r="M52"/>
      <c r="N52"/>
    </row>
    <row r="53" spans="1:16" ht="15" customHeight="1" x14ac:dyDescent="0.25">
      <c r="A53" s="274" t="s">
        <v>7</v>
      </c>
      <c r="B53" s="271" t="s">
        <v>17</v>
      </c>
      <c r="C53" s="271" t="s">
        <v>1054</v>
      </c>
      <c r="D53" s="323" t="str">
        <f ca="1">IFERROR(OFFSET(Camp_List[P_Code],MATCH(Data_Demography_t[[#This Row],[Camp]],Camp_List[Camp Name],0)-1,0,1,1),"")</f>
        <v>MMR012CMP042</v>
      </c>
      <c r="E53" s="389" t="s">
        <v>1038</v>
      </c>
      <c r="F53" s="287" t="s">
        <v>677</v>
      </c>
      <c r="G53" s="322">
        <v>256</v>
      </c>
      <c r="H53" s="130">
        <f t="shared" si="0"/>
        <v>256</v>
      </c>
      <c r="I53" s="271" t="s">
        <v>575</v>
      </c>
      <c r="J53" s="673">
        <v>43373</v>
      </c>
      <c r="L53"/>
      <c r="M53"/>
      <c r="N53"/>
    </row>
    <row r="54" spans="1:16" ht="15" customHeight="1" x14ac:dyDescent="0.25">
      <c r="A54" s="274" t="s">
        <v>7</v>
      </c>
      <c r="B54" s="302" t="s">
        <v>17</v>
      </c>
      <c r="C54" s="271" t="s">
        <v>1054</v>
      </c>
      <c r="D54" s="323" t="str">
        <f ca="1">IFERROR(OFFSET(Camp_List[P_Code],MATCH(Data_Demography_t[[#This Row],[Camp]],Camp_List[Camp Name],0)-1,0,1,1),"")</f>
        <v>MMR012CMP042</v>
      </c>
      <c r="E54" s="389" t="s">
        <v>828</v>
      </c>
      <c r="F54" s="287" t="s">
        <v>676</v>
      </c>
      <c r="G54" s="322">
        <v>225</v>
      </c>
      <c r="H54" s="130">
        <f t="shared" si="0"/>
        <v>-225</v>
      </c>
      <c r="I54" s="320" t="s">
        <v>575</v>
      </c>
      <c r="J54" s="673">
        <v>43373</v>
      </c>
      <c r="L54"/>
      <c r="M54"/>
      <c r="N54"/>
    </row>
    <row r="55" spans="1:16" ht="15" customHeight="1" x14ac:dyDescent="0.25">
      <c r="A55" s="274" t="s">
        <v>7</v>
      </c>
      <c r="B55" s="302" t="s">
        <v>17</v>
      </c>
      <c r="C55" s="271" t="s">
        <v>1054</v>
      </c>
      <c r="D55" s="323" t="str">
        <f ca="1">IFERROR(OFFSET(Camp_List[P_Code],MATCH(Data_Demography_t[[#This Row],[Camp]],Camp_List[Camp Name],0)-1,0,1,1),"")</f>
        <v>MMR012CMP042</v>
      </c>
      <c r="E55" s="389" t="s">
        <v>828</v>
      </c>
      <c r="F55" s="287" t="s">
        <v>677</v>
      </c>
      <c r="G55" s="322">
        <v>206</v>
      </c>
      <c r="H55" s="130">
        <f t="shared" si="0"/>
        <v>206</v>
      </c>
      <c r="I55" s="320" t="s">
        <v>575</v>
      </c>
      <c r="J55" s="673">
        <v>43373</v>
      </c>
      <c r="L55"/>
      <c r="M55"/>
      <c r="N55"/>
    </row>
    <row r="56" spans="1:16" ht="15" customHeight="1" x14ac:dyDescent="0.25">
      <c r="A56" s="274" t="s">
        <v>7</v>
      </c>
      <c r="B56" s="302" t="s">
        <v>17</v>
      </c>
      <c r="C56" s="271" t="s">
        <v>1054</v>
      </c>
      <c r="D56" s="323" t="str">
        <f ca="1">IFERROR(OFFSET(Camp_List[P_Code],MATCH(Data_Demography_t[[#This Row],[Camp]],Camp_List[Camp Name],0)-1,0,1,1),"")</f>
        <v>MMR012CMP042</v>
      </c>
      <c r="E56" s="289" t="s">
        <v>607</v>
      </c>
      <c r="F56" s="287" t="s">
        <v>676</v>
      </c>
      <c r="G56" s="322">
        <v>161</v>
      </c>
      <c r="H56" s="130">
        <f t="shared" si="0"/>
        <v>-161</v>
      </c>
      <c r="I56" s="320" t="s">
        <v>575</v>
      </c>
      <c r="J56" s="673">
        <v>43373</v>
      </c>
      <c r="L56"/>
      <c r="M56"/>
      <c r="N56"/>
    </row>
    <row r="57" spans="1:16" ht="15" customHeight="1" x14ac:dyDescent="0.25">
      <c r="A57" s="274" t="s">
        <v>7</v>
      </c>
      <c r="B57" s="302" t="s">
        <v>17</v>
      </c>
      <c r="C57" s="271" t="s">
        <v>1054</v>
      </c>
      <c r="D57" s="323" t="str">
        <f ca="1">IFERROR(OFFSET(Camp_List[P_Code],MATCH(Data_Demography_t[[#This Row],[Camp]],Camp_List[Camp Name],0)-1,0,1,1),"")</f>
        <v>MMR012CMP042</v>
      </c>
      <c r="E57" s="289" t="s">
        <v>607</v>
      </c>
      <c r="F57" s="287" t="s">
        <v>677</v>
      </c>
      <c r="G57" s="322">
        <v>157</v>
      </c>
      <c r="H57" s="130">
        <f t="shared" si="0"/>
        <v>157</v>
      </c>
      <c r="I57" s="320" t="s">
        <v>575</v>
      </c>
      <c r="J57" s="673">
        <v>43373</v>
      </c>
      <c r="L57"/>
      <c r="M57"/>
      <c r="N57"/>
      <c r="O57" s="85"/>
      <c r="P57" s="55"/>
    </row>
    <row r="58" spans="1:16" ht="15" customHeight="1" x14ac:dyDescent="0.25">
      <c r="A58" s="274" t="s">
        <v>7</v>
      </c>
      <c r="B58" s="302" t="s">
        <v>17</v>
      </c>
      <c r="C58" s="271" t="s">
        <v>1054</v>
      </c>
      <c r="D58" s="323" t="str">
        <f ca="1">IFERROR(OFFSET(Camp_List[P_Code],MATCH(Data_Demography_t[[#This Row],[Camp]],Camp_List[Camp Name],0)-1,0,1,1),"")</f>
        <v>MMR012CMP042</v>
      </c>
      <c r="E58" s="289" t="s">
        <v>829</v>
      </c>
      <c r="F58" s="287" t="s">
        <v>676</v>
      </c>
      <c r="G58" s="322">
        <v>166</v>
      </c>
      <c r="H58" s="130">
        <f t="shared" si="0"/>
        <v>-166</v>
      </c>
      <c r="I58" s="320" t="s">
        <v>575</v>
      </c>
      <c r="J58" s="673">
        <v>43373</v>
      </c>
      <c r="L58"/>
      <c r="M58"/>
      <c r="N58"/>
      <c r="O58" s="85"/>
      <c r="P58" s="55"/>
    </row>
    <row r="59" spans="1:16" ht="15" customHeight="1" x14ac:dyDescent="0.25">
      <c r="A59" s="274" t="s">
        <v>7</v>
      </c>
      <c r="B59" s="302" t="s">
        <v>17</v>
      </c>
      <c r="C59" s="271" t="s">
        <v>1054</v>
      </c>
      <c r="D59" s="323" t="str">
        <f ca="1">IFERROR(OFFSET(Camp_List[P_Code],MATCH(Data_Demography_t[[#This Row],[Camp]],Camp_List[Camp Name],0)-1,0,1,1),"")</f>
        <v>MMR012CMP042</v>
      </c>
      <c r="E59" s="289" t="s">
        <v>829</v>
      </c>
      <c r="F59" s="287" t="s">
        <v>677</v>
      </c>
      <c r="G59" s="322">
        <v>204</v>
      </c>
      <c r="H59" s="130">
        <f t="shared" si="0"/>
        <v>204</v>
      </c>
      <c r="I59" s="320" t="s">
        <v>575</v>
      </c>
      <c r="J59" s="673">
        <v>43373</v>
      </c>
      <c r="L59"/>
      <c r="M59"/>
      <c r="N59"/>
      <c r="O59" s="85"/>
      <c r="P59" s="55"/>
    </row>
    <row r="60" spans="1:16" s="645" customFormat="1" ht="15" customHeight="1" x14ac:dyDescent="0.25">
      <c r="A60" s="274" t="s">
        <v>7</v>
      </c>
      <c r="B60" s="302" t="s">
        <v>17</v>
      </c>
      <c r="C60" s="271" t="s">
        <v>1054</v>
      </c>
      <c r="D60" s="323" t="str">
        <f ca="1">IFERROR(OFFSET(Camp_List[P_Code],MATCH(Data_Demography_t[[#This Row],[Camp]],Camp_List[Camp Name],0)-1,0,1,1),"")</f>
        <v>MMR012CMP042</v>
      </c>
      <c r="E60" s="289" t="s">
        <v>830</v>
      </c>
      <c r="F60" s="287" t="s">
        <v>676</v>
      </c>
      <c r="G60" s="322">
        <v>308</v>
      </c>
      <c r="H60" s="130">
        <f t="shared" si="0"/>
        <v>-308</v>
      </c>
      <c r="I60" s="320" t="s">
        <v>575</v>
      </c>
      <c r="J60" s="673">
        <v>43373</v>
      </c>
      <c r="K60" s="268"/>
      <c r="L60"/>
      <c r="M60"/>
      <c r="N60"/>
      <c r="O60" s="85"/>
      <c r="P60" s="55"/>
    </row>
    <row r="61" spans="1:16" s="645" customFormat="1" ht="15" customHeight="1" x14ac:dyDescent="0.25">
      <c r="A61" s="274" t="s">
        <v>7</v>
      </c>
      <c r="B61" s="302" t="s">
        <v>17</v>
      </c>
      <c r="C61" s="271" t="s">
        <v>1054</v>
      </c>
      <c r="D61" s="323" t="str">
        <f ca="1">IFERROR(OFFSET(Camp_List[P_Code],MATCH(Data_Demography_t[[#This Row],[Camp]],Camp_List[Camp Name],0)-1,0,1,1),"")</f>
        <v>MMR012CMP042</v>
      </c>
      <c r="E61" s="289" t="s">
        <v>830</v>
      </c>
      <c r="F61" s="287" t="s">
        <v>677</v>
      </c>
      <c r="G61" s="322">
        <v>336</v>
      </c>
      <c r="H61" s="130">
        <f t="shared" si="0"/>
        <v>336</v>
      </c>
      <c r="I61" s="320" t="s">
        <v>575</v>
      </c>
      <c r="J61" s="673">
        <v>43373</v>
      </c>
      <c r="K61" s="268"/>
      <c r="L61"/>
      <c r="M61"/>
      <c r="N61"/>
      <c r="O61" s="85"/>
      <c r="P61" s="55"/>
    </row>
    <row r="62" spans="1:16" ht="15" customHeight="1" x14ac:dyDescent="0.25">
      <c r="A62" s="274" t="s">
        <v>7</v>
      </c>
      <c r="B62" s="302" t="s">
        <v>17</v>
      </c>
      <c r="C62" s="271" t="s">
        <v>1054</v>
      </c>
      <c r="D62" s="323" t="str">
        <f ca="1">IFERROR(OFFSET(Camp_List[P_Code],MATCH(Data_Demography_t[[#This Row],[Camp]],Camp_List[Camp Name],0)-1,0,1,1),"")</f>
        <v>MMR012CMP042</v>
      </c>
      <c r="E62" s="289" t="s">
        <v>806</v>
      </c>
      <c r="F62" s="287" t="s">
        <v>676</v>
      </c>
      <c r="G62" s="322">
        <v>26</v>
      </c>
      <c r="H62" s="130">
        <f t="shared" si="0"/>
        <v>-26</v>
      </c>
      <c r="I62" s="320" t="s">
        <v>575</v>
      </c>
      <c r="J62" s="673">
        <v>43373</v>
      </c>
      <c r="L62"/>
      <c r="M62"/>
      <c r="N62"/>
      <c r="O62" s="85"/>
      <c r="P62" s="55"/>
    </row>
    <row r="63" spans="1:16" ht="15" customHeight="1" x14ac:dyDescent="0.25">
      <c r="A63" s="274" t="s">
        <v>7</v>
      </c>
      <c r="B63" s="302" t="s">
        <v>17</v>
      </c>
      <c r="C63" s="271" t="s">
        <v>1054</v>
      </c>
      <c r="D63" s="323" t="str">
        <f ca="1">IFERROR(OFFSET(Camp_List[P_Code],MATCH(Data_Demography_t[[#This Row],[Camp]],Camp_List[Camp Name],0)-1,0,1,1),"")</f>
        <v>MMR012CMP042</v>
      </c>
      <c r="E63" s="289" t="s">
        <v>806</v>
      </c>
      <c r="F63" s="287" t="s">
        <v>677</v>
      </c>
      <c r="G63" s="322">
        <v>32</v>
      </c>
      <c r="H63" s="130">
        <f t="shared" si="0"/>
        <v>32</v>
      </c>
      <c r="I63" s="320" t="s">
        <v>575</v>
      </c>
      <c r="J63" s="673">
        <v>43373</v>
      </c>
      <c r="L63"/>
      <c r="M63"/>
      <c r="N63"/>
      <c r="O63" s="85"/>
      <c r="P63" s="55"/>
    </row>
    <row r="64" spans="1:16" s="645" customFormat="1" ht="15" customHeight="1" x14ac:dyDescent="0.25">
      <c r="A64" s="274" t="s">
        <v>7</v>
      </c>
      <c r="B64" s="302" t="s">
        <v>17</v>
      </c>
      <c r="C64" s="1095" t="s">
        <v>1055</v>
      </c>
      <c r="D64" s="323" t="str">
        <f ca="1">IFERROR(OFFSET(Camp_List[P_Code],MATCH(Data_Demography_t[[#This Row],[Camp]],Camp_List[Camp Name],0)-1,0,1,1),"")</f>
        <v>MMR012CMP042</v>
      </c>
      <c r="E64" s="389" t="s">
        <v>1038</v>
      </c>
      <c r="F64" s="277" t="s">
        <v>676</v>
      </c>
      <c r="G64" s="272">
        <v>239</v>
      </c>
      <c r="H64" s="130">
        <f t="shared" ref="H64:H75" si="1">IF(F64="M",-G64,G64)</f>
        <v>-239</v>
      </c>
      <c r="I64" s="320" t="s">
        <v>575</v>
      </c>
      <c r="J64" s="673">
        <v>43373</v>
      </c>
      <c r="K64" s="268"/>
      <c r="O64" s="85"/>
      <c r="P64" s="55"/>
    </row>
    <row r="65" spans="1:16" s="645" customFormat="1" ht="15" customHeight="1" x14ac:dyDescent="0.25">
      <c r="A65" s="274" t="s">
        <v>7</v>
      </c>
      <c r="B65" s="302" t="s">
        <v>17</v>
      </c>
      <c r="C65" s="1095" t="s">
        <v>1055</v>
      </c>
      <c r="D65" s="323" t="str">
        <f ca="1">IFERROR(OFFSET(Camp_List[P_Code],MATCH(Data_Demography_t[[#This Row],[Camp]],Camp_List[Camp Name],0)-1,0,1,1),"")</f>
        <v>MMR012CMP042</v>
      </c>
      <c r="E65" s="389" t="s">
        <v>1038</v>
      </c>
      <c r="F65" s="277" t="s">
        <v>677</v>
      </c>
      <c r="G65" s="272">
        <v>218</v>
      </c>
      <c r="H65" s="130">
        <f t="shared" si="1"/>
        <v>218</v>
      </c>
      <c r="I65" s="320" t="s">
        <v>575</v>
      </c>
      <c r="J65" s="673">
        <v>43373</v>
      </c>
      <c r="K65" s="268"/>
      <c r="O65" s="85"/>
      <c r="P65" s="55"/>
    </row>
    <row r="66" spans="1:16" s="645" customFormat="1" ht="15" customHeight="1" x14ac:dyDescent="0.25">
      <c r="A66" s="274" t="s">
        <v>7</v>
      </c>
      <c r="B66" s="302" t="s">
        <v>17</v>
      </c>
      <c r="C66" s="1095" t="s">
        <v>1055</v>
      </c>
      <c r="D66" s="323" t="str">
        <f ca="1">IFERROR(OFFSET(Camp_List[P_Code],MATCH(Data_Demography_t[[#This Row],[Camp]],Camp_List[Camp Name],0)-1,0,1,1),"")</f>
        <v>MMR012CMP042</v>
      </c>
      <c r="E66" s="389" t="s">
        <v>828</v>
      </c>
      <c r="F66" s="277" t="s">
        <v>676</v>
      </c>
      <c r="G66" s="272">
        <v>193</v>
      </c>
      <c r="H66" s="130">
        <f t="shared" si="1"/>
        <v>-193</v>
      </c>
      <c r="I66" s="320" t="s">
        <v>575</v>
      </c>
      <c r="J66" s="673">
        <v>43373</v>
      </c>
      <c r="K66" s="268"/>
      <c r="O66" s="85"/>
      <c r="P66" s="55"/>
    </row>
    <row r="67" spans="1:16" s="645" customFormat="1" ht="15" customHeight="1" x14ac:dyDescent="0.25">
      <c r="A67" s="274" t="s">
        <v>7</v>
      </c>
      <c r="B67" s="302" t="s">
        <v>17</v>
      </c>
      <c r="C67" s="1095" t="s">
        <v>1055</v>
      </c>
      <c r="D67" s="323" t="str">
        <f ca="1">IFERROR(OFFSET(Camp_List[P_Code],MATCH(Data_Demography_t[[#This Row],[Camp]],Camp_List[Camp Name],0)-1,0,1,1),"")</f>
        <v>MMR012CMP042</v>
      </c>
      <c r="E67" s="389" t="s">
        <v>828</v>
      </c>
      <c r="F67" s="277" t="s">
        <v>677</v>
      </c>
      <c r="G67" s="272">
        <v>184</v>
      </c>
      <c r="H67" s="130">
        <f t="shared" si="1"/>
        <v>184</v>
      </c>
      <c r="I67" s="320" t="s">
        <v>575</v>
      </c>
      <c r="J67" s="673">
        <v>43373</v>
      </c>
      <c r="K67" s="268"/>
      <c r="O67" s="85"/>
      <c r="P67" s="55"/>
    </row>
    <row r="68" spans="1:16" s="645" customFormat="1" ht="15" customHeight="1" x14ac:dyDescent="0.25">
      <c r="A68" s="274" t="s">
        <v>7</v>
      </c>
      <c r="B68" s="302" t="s">
        <v>17</v>
      </c>
      <c r="C68" s="1095" t="s">
        <v>1055</v>
      </c>
      <c r="D68" s="323" t="str">
        <f ca="1">IFERROR(OFFSET(Camp_List[P_Code],MATCH(Data_Demography_t[[#This Row],[Camp]],Camp_List[Camp Name],0)-1,0,1,1),"")</f>
        <v>MMR012CMP042</v>
      </c>
      <c r="E68" s="289" t="s">
        <v>607</v>
      </c>
      <c r="F68" s="277" t="s">
        <v>676</v>
      </c>
      <c r="G68" s="272">
        <v>177</v>
      </c>
      <c r="H68" s="130">
        <f t="shared" si="1"/>
        <v>-177</v>
      </c>
      <c r="I68" s="320" t="s">
        <v>575</v>
      </c>
      <c r="J68" s="673">
        <v>43373</v>
      </c>
      <c r="K68" s="268"/>
      <c r="O68" s="85"/>
      <c r="P68" s="55"/>
    </row>
    <row r="69" spans="1:16" s="645" customFormat="1" ht="15" customHeight="1" x14ac:dyDescent="0.25">
      <c r="A69" s="274" t="s">
        <v>7</v>
      </c>
      <c r="B69" s="302" t="s">
        <v>17</v>
      </c>
      <c r="C69" s="1095" t="s">
        <v>1055</v>
      </c>
      <c r="D69" s="323" t="str">
        <f ca="1">IFERROR(OFFSET(Camp_List[P_Code],MATCH(Data_Demography_t[[#This Row],[Camp]],Camp_List[Camp Name],0)-1,0,1,1),"")</f>
        <v>MMR012CMP042</v>
      </c>
      <c r="E69" s="289" t="s">
        <v>607</v>
      </c>
      <c r="F69" s="277" t="s">
        <v>677</v>
      </c>
      <c r="G69" s="272">
        <v>140</v>
      </c>
      <c r="H69" s="130">
        <f t="shared" si="1"/>
        <v>140</v>
      </c>
      <c r="I69" s="320" t="s">
        <v>575</v>
      </c>
      <c r="J69" s="673">
        <v>43373</v>
      </c>
      <c r="K69" s="268"/>
      <c r="O69" s="85"/>
      <c r="P69" s="55"/>
    </row>
    <row r="70" spans="1:16" s="645" customFormat="1" ht="15" customHeight="1" x14ac:dyDescent="0.25">
      <c r="A70" s="274" t="s">
        <v>7</v>
      </c>
      <c r="B70" s="302" t="s">
        <v>17</v>
      </c>
      <c r="C70" s="1095" t="s">
        <v>1055</v>
      </c>
      <c r="D70" s="323" t="str">
        <f ca="1">IFERROR(OFFSET(Camp_List[P_Code],MATCH(Data_Demography_t[[#This Row],[Camp]],Camp_List[Camp Name],0)-1,0,1,1),"")</f>
        <v>MMR012CMP042</v>
      </c>
      <c r="E70" s="289" t="s">
        <v>829</v>
      </c>
      <c r="F70" s="277" t="s">
        <v>676</v>
      </c>
      <c r="G70" s="272">
        <v>149</v>
      </c>
      <c r="H70" s="130">
        <f t="shared" si="1"/>
        <v>-149</v>
      </c>
      <c r="I70" s="320" t="s">
        <v>575</v>
      </c>
      <c r="J70" s="673">
        <v>43373</v>
      </c>
      <c r="K70" s="268"/>
      <c r="O70" s="85"/>
      <c r="P70" s="55"/>
    </row>
    <row r="71" spans="1:16" s="645" customFormat="1" ht="15" customHeight="1" x14ac:dyDescent="0.25">
      <c r="A71" s="274" t="s">
        <v>7</v>
      </c>
      <c r="B71" s="302" t="s">
        <v>17</v>
      </c>
      <c r="C71" s="1095" t="s">
        <v>1055</v>
      </c>
      <c r="D71" s="323" t="str">
        <f ca="1">IFERROR(OFFSET(Camp_List[P_Code],MATCH(Data_Demography_t[[#This Row],[Camp]],Camp_List[Camp Name],0)-1,0,1,1),"")</f>
        <v>MMR012CMP042</v>
      </c>
      <c r="E71" s="289" t="s">
        <v>829</v>
      </c>
      <c r="F71" s="277" t="s">
        <v>677</v>
      </c>
      <c r="G71" s="272">
        <v>255</v>
      </c>
      <c r="H71" s="130">
        <f t="shared" si="1"/>
        <v>255</v>
      </c>
      <c r="I71" s="320" t="s">
        <v>575</v>
      </c>
      <c r="J71" s="673">
        <v>43373</v>
      </c>
      <c r="K71" s="268"/>
      <c r="O71" s="85"/>
      <c r="P71" s="55"/>
    </row>
    <row r="72" spans="1:16" s="645" customFormat="1" ht="15" customHeight="1" x14ac:dyDescent="0.25">
      <c r="A72" s="274" t="s">
        <v>7</v>
      </c>
      <c r="B72" s="302" t="s">
        <v>17</v>
      </c>
      <c r="C72" s="1095" t="s">
        <v>1055</v>
      </c>
      <c r="D72" s="323" t="str">
        <f ca="1">IFERROR(OFFSET(Camp_List[P_Code],MATCH(Data_Demography_t[[#This Row],[Camp]],Camp_List[Camp Name],0)-1,0,1,1),"")</f>
        <v>MMR012CMP042</v>
      </c>
      <c r="E72" s="289" t="s">
        <v>830</v>
      </c>
      <c r="F72" s="277" t="s">
        <v>676</v>
      </c>
      <c r="G72" s="272">
        <v>300</v>
      </c>
      <c r="H72" s="130">
        <f t="shared" si="1"/>
        <v>-300</v>
      </c>
      <c r="I72" s="320" t="s">
        <v>575</v>
      </c>
      <c r="J72" s="673">
        <v>43373</v>
      </c>
      <c r="K72" s="268"/>
      <c r="O72" s="85"/>
      <c r="P72" s="55"/>
    </row>
    <row r="73" spans="1:16" s="645" customFormat="1" ht="15" customHeight="1" x14ac:dyDescent="0.25">
      <c r="A73" s="274" t="s">
        <v>7</v>
      </c>
      <c r="B73" s="302" t="s">
        <v>17</v>
      </c>
      <c r="C73" s="1095" t="s">
        <v>1055</v>
      </c>
      <c r="D73" s="323" t="str">
        <f ca="1">IFERROR(OFFSET(Camp_List[P_Code],MATCH(Data_Demography_t[[#This Row],[Camp]],Camp_List[Camp Name],0)-1,0,1,1),"")</f>
        <v>MMR012CMP042</v>
      </c>
      <c r="E73" s="289" t="s">
        <v>830</v>
      </c>
      <c r="F73" s="277" t="s">
        <v>677</v>
      </c>
      <c r="G73" s="272">
        <v>292</v>
      </c>
      <c r="H73" s="130">
        <f t="shared" si="1"/>
        <v>292</v>
      </c>
      <c r="I73" s="320" t="s">
        <v>575</v>
      </c>
      <c r="J73" s="673">
        <v>43373</v>
      </c>
      <c r="K73" s="268"/>
      <c r="O73" s="85"/>
      <c r="P73" s="55"/>
    </row>
    <row r="74" spans="1:16" s="645" customFormat="1" ht="15" customHeight="1" x14ac:dyDescent="0.25">
      <c r="A74" s="274" t="s">
        <v>7</v>
      </c>
      <c r="B74" s="302" t="s">
        <v>17</v>
      </c>
      <c r="C74" s="1095" t="s">
        <v>1055</v>
      </c>
      <c r="D74" s="323" t="str">
        <f ca="1">IFERROR(OFFSET(Camp_List[P_Code],MATCH(Data_Demography_t[[#This Row],[Camp]],Camp_List[Camp Name],0)-1,0,1,1),"")</f>
        <v>MMR012CMP042</v>
      </c>
      <c r="E74" s="289" t="s">
        <v>806</v>
      </c>
      <c r="F74" s="277" t="s">
        <v>676</v>
      </c>
      <c r="G74" s="272">
        <v>40</v>
      </c>
      <c r="H74" s="130">
        <f t="shared" si="1"/>
        <v>-40</v>
      </c>
      <c r="I74" s="320" t="s">
        <v>575</v>
      </c>
      <c r="J74" s="673">
        <v>43373</v>
      </c>
      <c r="K74" s="268"/>
      <c r="O74" s="85"/>
      <c r="P74" s="55"/>
    </row>
    <row r="75" spans="1:16" s="645" customFormat="1" ht="15" customHeight="1" x14ac:dyDescent="0.25">
      <c r="A75" s="274" t="s">
        <v>7</v>
      </c>
      <c r="B75" s="302" t="s">
        <v>17</v>
      </c>
      <c r="C75" s="1095" t="s">
        <v>1055</v>
      </c>
      <c r="D75" s="323" t="str">
        <f ca="1">IFERROR(OFFSET(Camp_List[P_Code],MATCH(Data_Demography_t[[#This Row],[Camp]],Camp_List[Camp Name],0)-1,0,1,1),"")</f>
        <v>MMR012CMP042</v>
      </c>
      <c r="E75" s="289" t="s">
        <v>806</v>
      </c>
      <c r="F75" s="277" t="s">
        <v>677</v>
      </c>
      <c r="G75" s="272">
        <v>42</v>
      </c>
      <c r="H75" s="130">
        <f t="shared" si="1"/>
        <v>42</v>
      </c>
      <c r="I75" s="320" t="s">
        <v>575</v>
      </c>
      <c r="J75" s="673">
        <v>43373</v>
      </c>
      <c r="K75" s="268"/>
      <c r="O75" s="85"/>
      <c r="P75" s="55"/>
    </row>
    <row r="76" spans="1:16" ht="15" customHeight="1" x14ac:dyDescent="0.25">
      <c r="A76" s="274" t="s">
        <v>7</v>
      </c>
      <c r="B76" s="271" t="s">
        <v>13</v>
      </c>
      <c r="C76" s="271" t="s">
        <v>40</v>
      </c>
      <c r="D76" s="323" t="str">
        <f ca="1">IFERROR(OFFSET(Camp_List[P_Code],MATCH(Data_Demography_t[[#This Row],[Camp]],Camp_List[Camp Name],0)-1,0,1,1),"")</f>
        <v>MMR012CMP018</v>
      </c>
      <c r="E76" s="389" t="s">
        <v>1038</v>
      </c>
      <c r="F76" s="277" t="s">
        <v>676</v>
      </c>
      <c r="G76" s="272">
        <v>737</v>
      </c>
      <c r="H76" s="130">
        <f t="shared" si="0"/>
        <v>-737</v>
      </c>
      <c r="I76" s="271" t="s">
        <v>273</v>
      </c>
      <c r="J76" s="674">
        <v>43373</v>
      </c>
      <c r="L76"/>
      <c r="M76"/>
      <c r="N76"/>
      <c r="O76" s="85"/>
      <c r="P76" s="55"/>
    </row>
    <row r="77" spans="1:16" ht="15" customHeight="1" x14ac:dyDescent="0.25">
      <c r="A77" s="274" t="s">
        <v>7</v>
      </c>
      <c r="B77" s="271" t="s">
        <v>13</v>
      </c>
      <c r="C77" s="271" t="s">
        <v>40</v>
      </c>
      <c r="D77" s="323" t="str">
        <f ca="1">IFERROR(OFFSET(Camp_List[P_Code],MATCH(Data_Demography_t[[#This Row],[Camp]],Camp_List[Camp Name],0)-1,0,1,1),"")</f>
        <v>MMR012CMP018</v>
      </c>
      <c r="E77" s="389" t="s">
        <v>1038</v>
      </c>
      <c r="F77" s="277" t="s">
        <v>677</v>
      </c>
      <c r="G77" s="272">
        <v>788</v>
      </c>
      <c r="H77" s="130">
        <f t="shared" si="0"/>
        <v>788</v>
      </c>
      <c r="I77" s="271" t="s">
        <v>273</v>
      </c>
      <c r="J77" s="674">
        <v>43373</v>
      </c>
      <c r="L77"/>
      <c r="M77"/>
      <c r="N77"/>
      <c r="O77" s="85"/>
      <c r="P77" s="55"/>
    </row>
    <row r="78" spans="1:16" ht="15" customHeight="1" x14ac:dyDescent="0.25">
      <c r="A78" s="274" t="s">
        <v>7</v>
      </c>
      <c r="B78" s="271" t="s">
        <v>13</v>
      </c>
      <c r="C78" s="271" t="s">
        <v>40</v>
      </c>
      <c r="D78" s="323" t="str">
        <f ca="1">IFERROR(OFFSET(Camp_List[P_Code],MATCH(Data_Demography_t[[#This Row],[Camp]],Camp_List[Camp Name],0)-1,0,1,1),"")</f>
        <v>MMR012CMP018</v>
      </c>
      <c r="E78" s="389" t="s">
        <v>828</v>
      </c>
      <c r="F78" s="277" t="s">
        <v>676</v>
      </c>
      <c r="G78" s="272">
        <v>565</v>
      </c>
      <c r="H78" s="130">
        <f t="shared" si="0"/>
        <v>-565</v>
      </c>
      <c r="I78" s="271" t="s">
        <v>273</v>
      </c>
      <c r="J78" s="674">
        <v>43373</v>
      </c>
      <c r="L78"/>
      <c r="M78"/>
      <c r="O78" s="85"/>
      <c r="P78" s="55"/>
    </row>
    <row r="79" spans="1:16" ht="15" customHeight="1" x14ac:dyDescent="0.25">
      <c r="A79" s="274" t="s">
        <v>7</v>
      </c>
      <c r="B79" s="271" t="s">
        <v>13</v>
      </c>
      <c r="C79" s="271" t="s">
        <v>40</v>
      </c>
      <c r="D79" s="323" t="str">
        <f ca="1">IFERROR(OFFSET(Camp_List[P_Code],MATCH(Data_Demography_t[[#This Row],[Camp]],Camp_List[Camp Name],0)-1,0,1,1),"")</f>
        <v>MMR012CMP018</v>
      </c>
      <c r="E79" s="389" t="s">
        <v>828</v>
      </c>
      <c r="F79" s="277" t="s">
        <v>677</v>
      </c>
      <c r="G79" s="272">
        <v>541</v>
      </c>
      <c r="H79" s="130">
        <f t="shared" si="0"/>
        <v>541</v>
      </c>
      <c r="I79" s="271" t="s">
        <v>273</v>
      </c>
      <c r="J79" s="674">
        <v>43373</v>
      </c>
      <c r="L79"/>
      <c r="M79"/>
      <c r="O79" s="85"/>
      <c r="P79" s="55"/>
    </row>
    <row r="80" spans="1:16" ht="15" customHeight="1" x14ac:dyDescent="0.25">
      <c r="A80" s="274" t="s">
        <v>7</v>
      </c>
      <c r="B80" s="271" t="s">
        <v>13</v>
      </c>
      <c r="C80" s="271" t="s">
        <v>40</v>
      </c>
      <c r="D80" s="323" t="str">
        <f ca="1">IFERROR(OFFSET(Camp_List[P_Code],MATCH(Data_Demography_t[[#This Row],[Camp]],Camp_List[Camp Name],0)-1,0,1,1),"")</f>
        <v>MMR012CMP018</v>
      </c>
      <c r="E80" s="276" t="s">
        <v>607</v>
      </c>
      <c r="F80" s="277" t="s">
        <v>676</v>
      </c>
      <c r="G80" s="272">
        <v>338</v>
      </c>
      <c r="H80" s="130">
        <f t="shared" ref="H80:H155" si="2">IF(F80="M",-G80,G80)</f>
        <v>-338</v>
      </c>
      <c r="I80" s="271" t="s">
        <v>273</v>
      </c>
      <c r="J80" s="674">
        <v>43373</v>
      </c>
      <c r="L80"/>
      <c r="M80"/>
      <c r="O80" s="85"/>
      <c r="P80" s="55"/>
    </row>
    <row r="81" spans="1:13" ht="15" customHeight="1" x14ac:dyDescent="0.25">
      <c r="A81" s="274" t="s">
        <v>7</v>
      </c>
      <c r="B81" s="271" t="s">
        <v>13</v>
      </c>
      <c r="C81" s="271" t="s">
        <v>40</v>
      </c>
      <c r="D81" s="323" t="str">
        <f ca="1">IFERROR(OFFSET(Camp_List[P_Code],MATCH(Data_Demography_t[[#This Row],[Camp]],Camp_List[Camp Name],0)-1,0,1,1),"")</f>
        <v>MMR012CMP018</v>
      </c>
      <c r="E81" s="276" t="s">
        <v>607</v>
      </c>
      <c r="F81" s="277" t="s">
        <v>677</v>
      </c>
      <c r="G81" s="272">
        <v>282</v>
      </c>
      <c r="H81" s="130">
        <f t="shared" si="2"/>
        <v>282</v>
      </c>
      <c r="I81" s="271" t="s">
        <v>273</v>
      </c>
      <c r="J81" s="674">
        <v>43373</v>
      </c>
      <c r="L81"/>
      <c r="M81"/>
    </row>
    <row r="82" spans="1:13" ht="15" customHeight="1" x14ac:dyDescent="0.25">
      <c r="A82" s="274" t="s">
        <v>7</v>
      </c>
      <c r="B82" s="271" t="s">
        <v>13</v>
      </c>
      <c r="C82" s="271" t="s">
        <v>40</v>
      </c>
      <c r="D82" s="323" t="str">
        <f ca="1">IFERROR(OFFSET(Camp_List[P_Code],MATCH(Data_Demography_t[[#This Row],[Camp]],Camp_List[Camp Name],0)-1,0,1,1),"")</f>
        <v>MMR012CMP018</v>
      </c>
      <c r="E82" s="276" t="s">
        <v>829</v>
      </c>
      <c r="F82" s="277" t="s">
        <v>676</v>
      </c>
      <c r="G82" s="272">
        <v>500</v>
      </c>
      <c r="H82" s="130">
        <f t="shared" si="2"/>
        <v>-500</v>
      </c>
      <c r="I82" s="271" t="s">
        <v>273</v>
      </c>
      <c r="J82" s="674">
        <v>43373</v>
      </c>
      <c r="L82"/>
      <c r="M82"/>
    </row>
    <row r="83" spans="1:13" ht="15" customHeight="1" x14ac:dyDescent="0.25">
      <c r="A83" s="274" t="s">
        <v>7</v>
      </c>
      <c r="B83" s="271" t="s">
        <v>13</v>
      </c>
      <c r="C83" s="271" t="s">
        <v>40</v>
      </c>
      <c r="D83" s="323" t="str">
        <f ca="1">IFERROR(OFFSET(Camp_List[P_Code],MATCH(Data_Demography_t[[#This Row],[Camp]],Camp_List[Camp Name],0)-1,0,1,1),"")</f>
        <v>MMR012CMP018</v>
      </c>
      <c r="E83" s="276" t="s">
        <v>829</v>
      </c>
      <c r="F83" s="277" t="s">
        <v>677</v>
      </c>
      <c r="G83" s="272">
        <v>738</v>
      </c>
      <c r="H83" s="130">
        <f t="shared" si="2"/>
        <v>738</v>
      </c>
      <c r="I83" s="271" t="s">
        <v>273</v>
      </c>
      <c r="J83" s="674">
        <v>43373</v>
      </c>
      <c r="L83"/>
      <c r="M83"/>
    </row>
    <row r="84" spans="1:13" ht="15" customHeight="1" x14ac:dyDescent="0.25">
      <c r="A84" s="274" t="s">
        <v>7</v>
      </c>
      <c r="B84" s="271" t="s">
        <v>13</v>
      </c>
      <c r="C84" s="271" t="s">
        <v>40</v>
      </c>
      <c r="D84" s="323" t="str">
        <f ca="1">IFERROR(OFFSET(Camp_List[P_Code],MATCH(Data_Demography_t[[#This Row],[Camp]],Camp_List[Camp Name],0)-1,0,1,1),"")</f>
        <v>MMR012CMP018</v>
      </c>
      <c r="E84" s="276" t="s">
        <v>830</v>
      </c>
      <c r="F84" s="277" t="s">
        <v>676</v>
      </c>
      <c r="G84" s="272">
        <v>672</v>
      </c>
      <c r="H84" s="130">
        <f t="shared" si="2"/>
        <v>-672</v>
      </c>
      <c r="I84" s="271" t="s">
        <v>273</v>
      </c>
      <c r="J84" s="674">
        <v>43373</v>
      </c>
      <c r="L84"/>
      <c r="M84"/>
    </row>
    <row r="85" spans="1:13" ht="15" customHeight="1" x14ac:dyDescent="0.25">
      <c r="A85" s="274" t="s">
        <v>7</v>
      </c>
      <c r="B85" s="271" t="s">
        <v>13</v>
      </c>
      <c r="C85" s="271" t="s">
        <v>40</v>
      </c>
      <c r="D85" s="323" t="str">
        <f ca="1">IFERROR(OFFSET(Camp_List[P_Code],MATCH(Data_Demography_t[[#This Row],[Camp]],Camp_List[Camp Name],0)-1,0,1,1),"")</f>
        <v>MMR012CMP018</v>
      </c>
      <c r="E85" s="276" t="s">
        <v>830</v>
      </c>
      <c r="F85" s="277" t="s">
        <v>677</v>
      </c>
      <c r="G85" s="272">
        <v>575</v>
      </c>
      <c r="H85" s="130">
        <f t="shared" si="2"/>
        <v>575</v>
      </c>
      <c r="I85" s="271" t="s">
        <v>273</v>
      </c>
      <c r="J85" s="674">
        <v>43373</v>
      </c>
      <c r="L85"/>
      <c r="M85"/>
    </row>
    <row r="86" spans="1:13" s="645" customFormat="1" ht="15" customHeight="1" x14ac:dyDescent="0.25">
      <c r="A86" s="274" t="s">
        <v>7</v>
      </c>
      <c r="B86" s="271" t="s">
        <v>13</v>
      </c>
      <c r="C86" s="271" t="s">
        <v>40</v>
      </c>
      <c r="D86" s="323" t="str">
        <f ca="1">IFERROR(OFFSET(Camp_List[P_Code],MATCH(Data_Demography_t[[#This Row],[Camp]],Camp_List[Camp Name],0)-1,0,1,1),"")</f>
        <v>MMR012CMP018</v>
      </c>
      <c r="E86" s="276" t="s">
        <v>806</v>
      </c>
      <c r="F86" s="277" t="s">
        <v>676</v>
      </c>
      <c r="G86" s="272">
        <v>118</v>
      </c>
      <c r="H86" s="130">
        <f t="shared" si="2"/>
        <v>-118</v>
      </c>
      <c r="I86" s="271" t="s">
        <v>273</v>
      </c>
      <c r="J86" s="674">
        <v>43373</v>
      </c>
      <c r="K86" s="268"/>
    </row>
    <row r="87" spans="1:13" s="645" customFormat="1" ht="15" customHeight="1" x14ac:dyDescent="0.25">
      <c r="A87" s="274" t="s">
        <v>7</v>
      </c>
      <c r="B87" s="271" t="s">
        <v>13</v>
      </c>
      <c r="C87" s="271" t="s">
        <v>40</v>
      </c>
      <c r="D87" s="323" t="str">
        <f ca="1">IFERROR(OFFSET(Camp_List[P_Code],MATCH(Data_Demography_t[[#This Row],[Camp]],Camp_List[Camp Name],0)-1,0,1,1),"")</f>
        <v>MMR012CMP018</v>
      </c>
      <c r="E87" s="276" t="s">
        <v>806</v>
      </c>
      <c r="F87" s="277" t="s">
        <v>677</v>
      </c>
      <c r="G87" s="272">
        <v>91</v>
      </c>
      <c r="H87" s="130">
        <f t="shared" si="2"/>
        <v>91</v>
      </c>
      <c r="I87" s="271" t="s">
        <v>273</v>
      </c>
      <c r="J87" s="674">
        <v>43373</v>
      </c>
      <c r="K87" s="268"/>
    </row>
    <row r="88" spans="1:13" ht="15" customHeight="1" x14ac:dyDescent="0.25">
      <c r="A88" s="274" t="s">
        <v>7</v>
      </c>
      <c r="B88" s="271" t="s">
        <v>17</v>
      </c>
      <c r="C88" s="275" t="s">
        <v>580</v>
      </c>
      <c r="D88" s="323" t="str">
        <f ca="1">IFERROR(OFFSET(Camp_List[P_Code],MATCH(Data_Demography_t[[#This Row],[Camp]],Camp_List[Camp Name],0)-1,0,1,1),"")</f>
        <v>MMR012CMP092</v>
      </c>
      <c r="E88" s="389" t="s">
        <v>1038</v>
      </c>
      <c r="F88" s="277" t="s">
        <v>676</v>
      </c>
      <c r="G88" s="272">
        <v>328</v>
      </c>
      <c r="H88" s="130">
        <f t="shared" si="2"/>
        <v>-328</v>
      </c>
      <c r="I88" s="275" t="s">
        <v>904</v>
      </c>
      <c r="J88" s="674">
        <v>43404</v>
      </c>
      <c r="L88"/>
      <c r="M88"/>
    </row>
    <row r="89" spans="1:13" ht="15" customHeight="1" x14ac:dyDescent="0.25">
      <c r="A89" s="274" t="s">
        <v>7</v>
      </c>
      <c r="B89" s="271" t="s">
        <v>17</v>
      </c>
      <c r="C89" s="275" t="s">
        <v>580</v>
      </c>
      <c r="D89" s="323" t="str">
        <f ca="1">IFERROR(OFFSET(Camp_List[P_Code],MATCH(Data_Demography_t[[#This Row],[Camp]],Camp_List[Camp Name],0)-1,0,1,1),"")</f>
        <v>MMR012CMP092</v>
      </c>
      <c r="E89" s="389" t="s">
        <v>1038</v>
      </c>
      <c r="F89" s="277" t="s">
        <v>677</v>
      </c>
      <c r="G89" s="272">
        <v>254</v>
      </c>
      <c r="H89" s="130">
        <f t="shared" si="2"/>
        <v>254</v>
      </c>
      <c r="I89" s="275" t="s">
        <v>904</v>
      </c>
      <c r="J89" s="674">
        <v>43404</v>
      </c>
      <c r="L89"/>
      <c r="M89"/>
    </row>
    <row r="90" spans="1:13" ht="15" customHeight="1" x14ac:dyDescent="0.25">
      <c r="A90" s="274" t="s">
        <v>7</v>
      </c>
      <c r="B90" s="271" t="s">
        <v>17</v>
      </c>
      <c r="C90" s="275" t="s">
        <v>580</v>
      </c>
      <c r="D90" s="323" t="str">
        <f ca="1">IFERROR(OFFSET(Camp_List[P_Code],MATCH(Data_Demography_t[[#This Row],[Camp]],Camp_List[Camp Name],0)-1,0,1,1),"")</f>
        <v>MMR012CMP092</v>
      </c>
      <c r="E90" s="389" t="s">
        <v>828</v>
      </c>
      <c r="F90" s="277" t="s">
        <v>676</v>
      </c>
      <c r="G90" s="272">
        <v>333</v>
      </c>
      <c r="H90" s="130">
        <f t="shared" si="2"/>
        <v>-333</v>
      </c>
      <c r="I90" s="275" t="s">
        <v>904</v>
      </c>
      <c r="J90" s="674">
        <v>43404</v>
      </c>
      <c r="L90"/>
      <c r="M90"/>
    </row>
    <row r="91" spans="1:13" ht="15" customHeight="1" x14ac:dyDescent="0.25">
      <c r="A91" s="274" t="s">
        <v>7</v>
      </c>
      <c r="B91" s="271" t="s">
        <v>17</v>
      </c>
      <c r="C91" s="275" t="s">
        <v>580</v>
      </c>
      <c r="D91" s="323" t="str">
        <f ca="1">IFERROR(OFFSET(Camp_List[P_Code],MATCH(Data_Demography_t[[#This Row],[Camp]],Camp_List[Camp Name],0)-1,0,1,1),"")</f>
        <v>MMR012CMP092</v>
      </c>
      <c r="E91" s="389" t="s">
        <v>828</v>
      </c>
      <c r="F91" s="277" t="s">
        <v>677</v>
      </c>
      <c r="G91" s="272">
        <v>291</v>
      </c>
      <c r="H91" s="130">
        <f t="shared" si="2"/>
        <v>291</v>
      </c>
      <c r="I91" s="275" t="s">
        <v>904</v>
      </c>
      <c r="J91" s="674">
        <v>43404</v>
      </c>
      <c r="L91"/>
      <c r="M91"/>
    </row>
    <row r="92" spans="1:13" ht="15" customHeight="1" x14ac:dyDescent="0.25">
      <c r="A92" s="274" t="s">
        <v>7</v>
      </c>
      <c r="B92" s="271" t="s">
        <v>17</v>
      </c>
      <c r="C92" s="275" t="s">
        <v>580</v>
      </c>
      <c r="D92" s="323" t="str">
        <f ca="1">IFERROR(OFFSET(Camp_List[P_Code],MATCH(Data_Demography_t[[#This Row],[Camp]],Camp_List[Camp Name],0)-1,0,1,1),"")</f>
        <v>MMR012CMP092</v>
      </c>
      <c r="E92" s="276" t="s">
        <v>607</v>
      </c>
      <c r="F92" s="277" t="s">
        <v>676</v>
      </c>
      <c r="G92" s="272">
        <v>268</v>
      </c>
      <c r="H92" s="130">
        <f t="shared" si="2"/>
        <v>-268</v>
      </c>
      <c r="I92" s="275" t="s">
        <v>904</v>
      </c>
      <c r="J92" s="674">
        <v>43404</v>
      </c>
      <c r="L92"/>
      <c r="M92"/>
    </row>
    <row r="93" spans="1:13" ht="15" customHeight="1" x14ac:dyDescent="0.25">
      <c r="A93" s="274" t="s">
        <v>7</v>
      </c>
      <c r="B93" s="271" t="s">
        <v>17</v>
      </c>
      <c r="C93" s="275" t="s">
        <v>580</v>
      </c>
      <c r="D93" s="323" t="str">
        <f ca="1">IFERROR(OFFSET(Camp_List[P_Code],MATCH(Data_Demography_t[[#This Row],[Camp]],Camp_List[Camp Name],0)-1,0,1,1),"")</f>
        <v>MMR012CMP092</v>
      </c>
      <c r="E93" s="276" t="s">
        <v>607</v>
      </c>
      <c r="F93" s="277" t="s">
        <v>677</v>
      </c>
      <c r="G93" s="272">
        <v>264</v>
      </c>
      <c r="H93" s="130">
        <f t="shared" si="2"/>
        <v>264</v>
      </c>
      <c r="I93" s="275" t="s">
        <v>904</v>
      </c>
      <c r="J93" s="674">
        <v>43404</v>
      </c>
    </row>
    <row r="94" spans="1:13" ht="15" customHeight="1" x14ac:dyDescent="0.25">
      <c r="A94" s="274" t="s">
        <v>7</v>
      </c>
      <c r="B94" s="271" t="s">
        <v>17</v>
      </c>
      <c r="C94" s="275" t="s">
        <v>580</v>
      </c>
      <c r="D94" s="323" t="str">
        <f ca="1">IFERROR(OFFSET(Camp_List[P_Code],MATCH(Data_Demography_t[[#This Row],[Camp]],Camp_List[Camp Name],0)-1,0,1,1),"")</f>
        <v>MMR012CMP092</v>
      </c>
      <c r="E94" s="276" t="s">
        <v>829</v>
      </c>
      <c r="F94" s="277" t="s">
        <v>676</v>
      </c>
      <c r="G94" s="272">
        <v>276</v>
      </c>
      <c r="H94" s="130">
        <f t="shared" si="2"/>
        <v>-276</v>
      </c>
      <c r="I94" s="275" t="s">
        <v>904</v>
      </c>
      <c r="J94" s="674">
        <v>43404</v>
      </c>
    </row>
    <row r="95" spans="1:13" ht="15" customHeight="1" x14ac:dyDescent="0.25">
      <c r="A95" s="274" t="s">
        <v>7</v>
      </c>
      <c r="B95" s="271" t="s">
        <v>17</v>
      </c>
      <c r="C95" s="275" t="s">
        <v>580</v>
      </c>
      <c r="D95" s="323" t="str">
        <f ca="1">IFERROR(OFFSET(Camp_List[P_Code],MATCH(Data_Demography_t[[#This Row],[Camp]],Camp_List[Camp Name],0)-1,0,1,1),"")</f>
        <v>MMR012CMP092</v>
      </c>
      <c r="E95" s="276" t="s">
        <v>829</v>
      </c>
      <c r="F95" s="277" t="s">
        <v>677</v>
      </c>
      <c r="G95" s="272">
        <v>360</v>
      </c>
      <c r="H95" s="130">
        <f t="shared" si="2"/>
        <v>360</v>
      </c>
      <c r="I95" s="275" t="s">
        <v>904</v>
      </c>
      <c r="J95" s="674">
        <v>43404</v>
      </c>
    </row>
    <row r="96" spans="1:13" ht="15" customHeight="1" x14ac:dyDescent="0.25">
      <c r="A96" s="274" t="s">
        <v>7</v>
      </c>
      <c r="B96" s="271" t="s">
        <v>17</v>
      </c>
      <c r="C96" s="275" t="s">
        <v>580</v>
      </c>
      <c r="D96" s="323" t="str">
        <f ca="1">IFERROR(OFFSET(Camp_List[P_Code],MATCH(Data_Demography_t[[#This Row],[Camp]],Camp_List[Camp Name],0)-1,0,1,1),"")</f>
        <v>MMR012CMP092</v>
      </c>
      <c r="E96" s="276" t="s">
        <v>830</v>
      </c>
      <c r="F96" s="277" t="s">
        <v>676</v>
      </c>
      <c r="G96" s="272">
        <v>406</v>
      </c>
      <c r="H96" s="130">
        <f t="shared" si="2"/>
        <v>-406</v>
      </c>
      <c r="I96" s="275" t="s">
        <v>904</v>
      </c>
      <c r="J96" s="674">
        <v>43404</v>
      </c>
    </row>
    <row r="97" spans="1:11" ht="15" customHeight="1" x14ac:dyDescent="0.25">
      <c r="A97" s="274" t="s">
        <v>7</v>
      </c>
      <c r="B97" s="271" t="s">
        <v>17</v>
      </c>
      <c r="C97" s="275" t="s">
        <v>580</v>
      </c>
      <c r="D97" s="323" t="str">
        <f ca="1">IFERROR(OFFSET(Camp_List[P_Code],MATCH(Data_Demography_t[[#This Row],[Camp]],Camp_List[Camp Name],0)-1,0,1,1),"")</f>
        <v>MMR012CMP092</v>
      </c>
      <c r="E97" s="276" t="s">
        <v>830</v>
      </c>
      <c r="F97" s="277" t="s">
        <v>677</v>
      </c>
      <c r="G97" s="272">
        <v>452</v>
      </c>
      <c r="H97" s="130">
        <f t="shared" si="2"/>
        <v>452</v>
      </c>
      <c r="I97" s="275" t="s">
        <v>904</v>
      </c>
      <c r="J97" s="674">
        <v>43404</v>
      </c>
    </row>
    <row r="98" spans="1:11" ht="15" customHeight="1" x14ac:dyDescent="0.25">
      <c r="A98" s="274" t="s">
        <v>7</v>
      </c>
      <c r="B98" s="271" t="s">
        <v>17</v>
      </c>
      <c r="C98" s="275" t="s">
        <v>580</v>
      </c>
      <c r="D98" s="323" t="str">
        <f ca="1">IFERROR(OFFSET(Camp_List[P_Code],MATCH(Data_Demography_t[[#This Row],[Camp]],Camp_List[Camp Name],0)-1,0,1,1),"")</f>
        <v>MMR012CMP092</v>
      </c>
      <c r="E98" s="276" t="s">
        <v>806</v>
      </c>
      <c r="F98" s="277" t="s">
        <v>676</v>
      </c>
      <c r="G98" s="272">
        <v>63</v>
      </c>
      <c r="H98" s="130">
        <f t="shared" si="2"/>
        <v>-63</v>
      </c>
      <c r="I98" s="275" t="s">
        <v>904</v>
      </c>
      <c r="J98" s="674">
        <v>43404</v>
      </c>
    </row>
    <row r="99" spans="1:11" ht="15" customHeight="1" x14ac:dyDescent="0.25">
      <c r="A99" s="274" t="s">
        <v>7</v>
      </c>
      <c r="B99" s="271" t="s">
        <v>17</v>
      </c>
      <c r="C99" s="275" t="s">
        <v>580</v>
      </c>
      <c r="D99" s="323" t="str">
        <f ca="1">IFERROR(OFFSET(Camp_List[P_Code],MATCH(Data_Demography_t[[#This Row],[Camp]],Camp_List[Camp Name],0)-1,0,1,1),"")</f>
        <v>MMR012CMP092</v>
      </c>
      <c r="E99" s="276" t="s">
        <v>806</v>
      </c>
      <c r="F99" s="277" t="s">
        <v>677</v>
      </c>
      <c r="G99" s="272">
        <v>75</v>
      </c>
      <c r="H99" s="130">
        <f t="shared" si="2"/>
        <v>75</v>
      </c>
      <c r="I99" s="275" t="s">
        <v>904</v>
      </c>
      <c r="J99" s="674">
        <v>43404</v>
      </c>
    </row>
    <row r="100" spans="1:11" s="645" customFormat="1" ht="22.5" customHeight="1" x14ac:dyDescent="0.25">
      <c r="A100" s="274" t="s">
        <v>7</v>
      </c>
      <c r="B100" s="271" t="s">
        <v>13</v>
      </c>
      <c r="C100" s="275" t="s">
        <v>981</v>
      </c>
      <c r="D100" s="323" t="str">
        <f ca="1">IFERROR(OFFSET(Camp_List[P_Code],MATCH(Data_Demography_t[[#This Row],[Camp]],Camp_List[Camp Name],0)-1,0,1,1),"")</f>
        <v>MMR012CMP017</v>
      </c>
      <c r="E100" s="276" t="s">
        <v>1038</v>
      </c>
      <c r="F100" s="277" t="s">
        <v>676</v>
      </c>
      <c r="G100" s="272">
        <v>620</v>
      </c>
      <c r="H100" s="130">
        <f t="shared" ref="H100:H103" si="3">IF(F100="M",-G100,G100)</f>
        <v>-620</v>
      </c>
      <c r="I100" s="275" t="s">
        <v>575</v>
      </c>
      <c r="J100" s="674">
        <v>43373</v>
      </c>
      <c r="K100" s="268"/>
    </row>
    <row r="101" spans="1:11" s="645" customFormat="1" ht="15" customHeight="1" x14ac:dyDescent="0.25">
      <c r="A101" s="274" t="s">
        <v>7</v>
      </c>
      <c r="B101" s="271" t="s">
        <v>13</v>
      </c>
      <c r="C101" s="275" t="s">
        <v>981</v>
      </c>
      <c r="D101" s="323" t="str">
        <f ca="1">IFERROR(OFFSET(Camp_List[P_Code],MATCH(Data_Demography_t[[#This Row],[Camp]],Camp_List[Camp Name],0)-1,0,1,1),"")</f>
        <v>MMR012CMP017</v>
      </c>
      <c r="E101" s="276" t="s">
        <v>1038</v>
      </c>
      <c r="F101" s="277" t="s">
        <v>677</v>
      </c>
      <c r="G101" s="272">
        <v>561</v>
      </c>
      <c r="H101" s="130">
        <f t="shared" si="3"/>
        <v>561</v>
      </c>
      <c r="I101" s="275" t="s">
        <v>575</v>
      </c>
      <c r="J101" s="674">
        <v>43373</v>
      </c>
      <c r="K101" s="268"/>
    </row>
    <row r="102" spans="1:11" s="645" customFormat="1" ht="15" customHeight="1" x14ac:dyDescent="0.25">
      <c r="A102" s="274" t="s">
        <v>7</v>
      </c>
      <c r="B102" s="271" t="s">
        <v>13</v>
      </c>
      <c r="C102" s="275" t="s">
        <v>981</v>
      </c>
      <c r="D102" s="323" t="str">
        <f ca="1">IFERROR(OFFSET(Camp_List[P_Code],MATCH(Data_Demography_t[[#This Row],[Camp]],Camp_List[Camp Name],0)-1,0,1,1),"")</f>
        <v>MMR012CMP017</v>
      </c>
      <c r="E102" s="276" t="s">
        <v>828</v>
      </c>
      <c r="F102" s="277" t="s">
        <v>676</v>
      </c>
      <c r="G102" s="272">
        <v>549</v>
      </c>
      <c r="H102" s="130">
        <f t="shared" si="3"/>
        <v>-549</v>
      </c>
      <c r="I102" s="275" t="s">
        <v>575</v>
      </c>
      <c r="J102" s="674">
        <v>43373</v>
      </c>
      <c r="K102" s="268"/>
    </row>
    <row r="103" spans="1:11" s="645" customFormat="1" ht="15" customHeight="1" x14ac:dyDescent="0.25">
      <c r="A103" s="274" t="s">
        <v>7</v>
      </c>
      <c r="B103" s="271" t="s">
        <v>13</v>
      </c>
      <c r="C103" s="275" t="s">
        <v>981</v>
      </c>
      <c r="D103" s="323" t="str">
        <f ca="1">IFERROR(OFFSET(Camp_List[P_Code],MATCH(Data_Demography_t[[#This Row],[Camp]],Camp_List[Camp Name],0)-1,0,1,1),"")</f>
        <v>MMR012CMP017</v>
      </c>
      <c r="E103" s="276" t="s">
        <v>828</v>
      </c>
      <c r="F103" s="277" t="s">
        <v>677</v>
      </c>
      <c r="G103" s="272">
        <v>535</v>
      </c>
      <c r="H103" s="130">
        <f t="shared" si="3"/>
        <v>535</v>
      </c>
      <c r="I103" s="275" t="s">
        <v>575</v>
      </c>
      <c r="J103" s="674">
        <v>43373</v>
      </c>
      <c r="K103" s="268"/>
    </row>
    <row r="104" spans="1:11" s="645" customFormat="1" ht="15" customHeight="1" x14ac:dyDescent="0.25">
      <c r="A104" s="274" t="s">
        <v>7</v>
      </c>
      <c r="B104" s="271" t="s">
        <v>13</v>
      </c>
      <c r="C104" s="275" t="s">
        <v>981</v>
      </c>
      <c r="D104" s="323" t="str">
        <f ca="1">IFERROR(OFFSET(Camp_List[P_Code],MATCH(Data_Demography_t[[#This Row],[Camp]],Camp_List[Camp Name],0)-1,0,1,1),"")</f>
        <v>MMR012CMP017</v>
      </c>
      <c r="E104" s="276" t="s">
        <v>607</v>
      </c>
      <c r="F104" s="277" t="s">
        <v>676</v>
      </c>
      <c r="G104" s="272">
        <v>297</v>
      </c>
      <c r="H104" s="130">
        <f t="shared" ref="H104:H107" si="4">IF(F104="M",-G104,G104)</f>
        <v>-297</v>
      </c>
      <c r="I104" s="275" t="s">
        <v>575</v>
      </c>
      <c r="J104" s="674">
        <v>43373</v>
      </c>
      <c r="K104" s="268"/>
    </row>
    <row r="105" spans="1:11" s="645" customFormat="1" ht="15" customHeight="1" x14ac:dyDescent="0.25">
      <c r="A105" s="274" t="s">
        <v>7</v>
      </c>
      <c r="B105" s="271" t="s">
        <v>13</v>
      </c>
      <c r="C105" s="275" t="s">
        <v>981</v>
      </c>
      <c r="D105" s="323" t="str">
        <f ca="1">IFERROR(OFFSET(Camp_List[P_Code],MATCH(Data_Demography_t[[#This Row],[Camp]],Camp_List[Camp Name],0)-1,0,1,1),"")</f>
        <v>MMR012CMP017</v>
      </c>
      <c r="E105" s="276" t="s">
        <v>607</v>
      </c>
      <c r="F105" s="277" t="s">
        <v>677</v>
      </c>
      <c r="G105" s="272">
        <v>238</v>
      </c>
      <c r="H105" s="130">
        <f t="shared" si="4"/>
        <v>238</v>
      </c>
      <c r="I105" s="275" t="s">
        <v>575</v>
      </c>
      <c r="J105" s="674">
        <v>43373</v>
      </c>
      <c r="K105" s="268"/>
    </row>
    <row r="106" spans="1:11" s="645" customFormat="1" ht="15" customHeight="1" x14ac:dyDescent="0.25">
      <c r="A106" s="274" t="s">
        <v>7</v>
      </c>
      <c r="B106" s="271" t="s">
        <v>13</v>
      </c>
      <c r="C106" s="275" t="s">
        <v>981</v>
      </c>
      <c r="D106" s="323" t="str">
        <f ca="1">IFERROR(OFFSET(Camp_List[P_Code],MATCH(Data_Demography_t[[#This Row],[Camp]],Camp_List[Camp Name],0)-1,0,1,1),"")</f>
        <v>MMR012CMP017</v>
      </c>
      <c r="E106" s="276" t="s">
        <v>829</v>
      </c>
      <c r="F106" s="277" t="s">
        <v>676</v>
      </c>
      <c r="G106" s="272">
        <v>244</v>
      </c>
      <c r="H106" s="130">
        <f t="shared" si="4"/>
        <v>-244</v>
      </c>
      <c r="I106" s="275" t="s">
        <v>575</v>
      </c>
      <c r="J106" s="674">
        <v>43373</v>
      </c>
      <c r="K106" s="268"/>
    </row>
    <row r="107" spans="1:11" s="645" customFormat="1" ht="15" customHeight="1" x14ac:dyDescent="0.25">
      <c r="A107" s="274" t="s">
        <v>7</v>
      </c>
      <c r="B107" s="271" t="s">
        <v>13</v>
      </c>
      <c r="C107" s="275" t="s">
        <v>981</v>
      </c>
      <c r="D107" s="323" t="str">
        <f ca="1">IFERROR(OFFSET(Camp_List[P_Code],MATCH(Data_Demography_t[[#This Row],[Camp]],Camp_List[Camp Name],0)-1,0,1,1),"")</f>
        <v>MMR012CMP017</v>
      </c>
      <c r="E107" s="276" t="s">
        <v>829</v>
      </c>
      <c r="F107" s="277" t="s">
        <v>677</v>
      </c>
      <c r="G107" s="272">
        <v>392</v>
      </c>
      <c r="H107" s="130">
        <f t="shared" si="4"/>
        <v>392</v>
      </c>
      <c r="I107" s="275" t="s">
        <v>575</v>
      </c>
      <c r="J107" s="674">
        <v>43373</v>
      </c>
      <c r="K107" s="268"/>
    </row>
    <row r="108" spans="1:11" s="645" customFormat="1" ht="15" customHeight="1" x14ac:dyDescent="0.25">
      <c r="A108" s="274" t="s">
        <v>7</v>
      </c>
      <c r="B108" s="271" t="s">
        <v>13</v>
      </c>
      <c r="C108" s="275" t="s">
        <v>981</v>
      </c>
      <c r="D108" s="323" t="str">
        <f ca="1">IFERROR(OFFSET(Camp_List[P_Code],MATCH(Data_Demography_t[[#This Row],[Camp]],Camp_List[Camp Name],0)-1,0,1,1),"")</f>
        <v>MMR012CMP017</v>
      </c>
      <c r="E108" s="276" t="s">
        <v>830</v>
      </c>
      <c r="F108" s="277" t="s">
        <v>676</v>
      </c>
      <c r="G108" s="272">
        <v>563</v>
      </c>
      <c r="H108" s="130">
        <f t="shared" ref="H108:H109" si="5">IF(F108="M",-G108,G108)</f>
        <v>-563</v>
      </c>
      <c r="I108" s="275" t="s">
        <v>575</v>
      </c>
      <c r="J108" s="674">
        <v>43373</v>
      </c>
      <c r="K108" s="268"/>
    </row>
    <row r="109" spans="1:11" s="645" customFormat="1" ht="15" customHeight="1" x14ac:dyDescent="0.25">
      <c r="A109" s="274" t="s">
        <v>7</v>
      </c>
      <c r="B109" s="271" t="s">
        <v>13</v>
      </c>
      <c r="C109" s="275" t="s">
        <v>981</v>
      </c>
      <c r="D109" s="323" t="str">
        <f ca="1">IFERROR(OFFSET(Camp_List[P_Code],MATCH(Data_Demography_t[[#This Row],[Camp]],Camp_List[Camp Name],0)-1,0,1,1),"")</f>
        <v>MMR012CMP017</v>
      </c>
      <c r="E109" s="276" t="s">
        <v>830</v>
      </c>
      <c r="F109" s="277" t="s">
        <v>677</v>
      </c>
      <c r="G109" s="272">
        <v>539</v>
      </c>
      <c r="H109" s="130">
        <f t="shared" si="5"/>
        <v>539</v>
      </c>
      <c r="I109" s="275" t="s">
        <v>575</v>
      </c>
      <c r="J109" s="674">
        <v>43373</v>
      </c>
      <c r="K109" s="268"/>
    </row>
    <row r="110" spans="1:11" s="645" customFormat="1" ht="15" customHeight="1" x14ac:dyDescent="0.25">
      <c r="A110" s="274" t="s">
        <v>7</v>
      </c>
      <c r="B110" s="271" t="s">
        <v>13</v>
      </c>
      <c r="C110" s="275" t="s">
        <v>981</v>
      </c>
      <c r="D110" s="323" t="str">
        <f ca="1">IFERROR(OFFSET(Camp_List[P_Code],MATCH(Data_Demography_t[[#This Row],[Camp]],Camp_List[Camp Name],0)-1,0,1,1),"")</f>
        <v>MMR012CMP017</v>
      </c>
      <c r="E110" s="276" t="s">
        <v>806</v>
      </c>
      <c r="F110" s="277" t="s">
        <v>676</v>
      </c>
      <c r="G110" s="272">
        <v>67</v>
      </c>
      <c r="H110" s="130">
        <f>IF(F110="M",-G110,G110)</f>
        <v>-67</v>
      </c>
      <c r="I110" s="275" t="s">
        <v>575</v>
      </c>
      <c r="J110" s="674">
        <v>43373</v>
      </c>
      <c r="K110" s="268"/>
    </row>
    <row r="111" spans="1:11" s="645" customFormat="1" ht="15" customHeight="1" x14ac:dyDescent="0.25">
      <c r="A111" s="274" t="s">
        <v>7</v>
      </c>
      <c r="B111" s="271" t="s">
        <v>13</v>
      </c>
      <c r="C111" s="275" t="s">
        <v>981</v>
      </c>
      <c r="D111" s="323" t="str">
        <f ca="1">IFERROR(OFFSET(Camp_List[P_Code],MATCH(Data_Demography_t[[#This Row],[Camp]],Camp_List[Camp Name],0)-1,0,1,1),"")</f>
        <v>MMR012CMP017</v>
      </c>
      <c r="E111" s="276" t="s">
        <v>806</v>
      </c>
      <c r="F111" s="277" t="s">
        <v>677</v>
      </c>
      <c r="G111" s="272">
        <v>60</v>
      </c>
      <c r="H111" s="130">
        <f>IF(F111="M",-G111,G111)</f>
        <v>60</v>
      </c>
      <c r="I111" s="275" t="s">
        <v>575</v>
      </c>
      <c r="J111" s="674">
        <v>43373</v>
      </c>
      <c r="K111" s="268"/>
    </row>
    <row r="112" spans="1:11" s="645" customFormat="1" ht="15" customHeight="1" x14ac:dyDescent="0.25">
      <c r="A112" s="274" t="s">
        <v>7</v>
      </c>
      <c r="B112" s="271" t="s">
        <v>13</v>
      </c>
      <c r="C112" s="275" t="s">
        <v>982</v>
      </c>
      <c r="D112" s="323" t="str">
        <f ca="1">IFERROR(OFFSET(Camp_List[P_Code],MATCH(Data_Demography_t[[#This Row],[Camp]],Camp_List[Camp Name],0)-1,0,1,1),"")</f>
        <v>MMR012CMP017</v>
      </c>
      <c r="E112" s="389" t="s">
        <v>1038</v>
      </c>
      <c r="F112" s="275" t="s">
        <v>676</v>
      </c>
      <c r="G112" s="272">
        <v>608</v>
      </c>
      <c r="H112" s="130">
        <f t="shared" si="2"/>
        <v>-608</v>
      </c>
      <c r="I112" s="275" t="s">
        <v>575</v>
      </c>
      <c r="J112" s="674">
        <v>43373</v>
      </c>
      <c r="K112" s="268"/>
    </row>
    <row r="113" spans="1:11" s="645" customFormat="1" ht="15" customHeight="1" x14ac:dyDescent="0.25">
      <c r="A113" s="274" t="s">
        <v>7</v>
      </c>
      <c r="B113" s="271" t="s">
        <v>13</v>
      </c>
      <c r="C113" s="275" t="s">
        <v>982</v>
      </c>
      <c r="D113" s="323" t="str">
        <f ca="1">IFERROR(OFFSET(Camp_List[P_Code],MATCH(Data_Demography_t[[#This Row],[Camp]],Camp_List[Camp Name],0)-1,0,1,1),"")</f>
        <v>MMR012CMP017</v>
      </c>
      <c r="E113" s="389" t="s">
        <v>1038</v>
      </c>
      <c r="F113" s="311" t="s">
        <v>677</v>
      </c>
      <c r="G113" s="272">
        <v>617</v>
      </c>
      <c r="H113" s="130">
        <f t="shared" si="2"/>
        <v>617</v>
      </c>
      <c r="I113" s="275" t="s">
        <v>575</v>
      </c>
      <c r="J113" s="674">
        <v>43373</v>
      </c>
      <c r="K113" s="268"/>
    </row>
    <row r="114" spans="1:11" ht="15" customHeight="1" x14ac:dyDescent="0.25">
      <c r="A114" s="274" t="s">
        <v>7</v>
      </c>
      <c r="B114" s="271" t="s">
        <v>13</v>
      </c>
      <c r="C114" s="275" t="s">
        <v>982</v>
      </c>
      <c r="D114" s="323" t="str">
        <f ca="1">IFERROR(OFFSET(Camp_List[P_Code],MATCH(Data_Demography_t[[#This Row],[Camp]],Camp_List[Camp Name],0)-1,0,1,1),"")</f>
        <v>MMR012CMP017</v>
      </c>
      <c r="E114" s="389" t="s">
        <v>828</v>
      </c>
      <c r="F114" s="275" t="s">
        <v>676</v>
      </c>
      <c r="G114" s="272">
        <v>377</v>
      </c>
      <c r="H114" s="130">
        <f t="shared" si="2"/>
        <v>-377</v>
      </c>
      <c r="I114" s="275" t="s">
        <v>575</v>
      </c>
      <c r="J114" s="674">
        <v>43373</v>
      </c>
    </row>
    <row r="115" spans="1:11" ht="15" customHeight="1" x14ac:dyDescent="0.25">
      <c r="A115" s="274" t="s">
        <v>7</v>
      </c>
      <c r="B115" s="271" t="s">
        <v>13</v>
      </c>
      <c r="C115" s="275" t="s">
        <v>982</v>
      </c>
      <c r="D115" s="323" t="str">
        <f ca="1">IFERROR(OFFSET(Camp_List[P_Code],MATCH(Data_Demography_t[[#This Row],[Camp]],Camp_List[Camp Name],0)-1,0,1,1),"")</f>
        <v>MMR012CMP017</v>
      </c>
      <c r="E115" s="389" t="s">
        <v>828</v>
      </c>
      <c r="F115" s="311" t="s">
        <v>677</v>
      </c>
      <c r="G115" s="272">
        <v>334</v>
      </c>
      <c r="H115" s="130">
        <f t="shared" si="2"/>
        <v>334</v>
      </c>
      <c r="I115" s="275" t="s">
        <v>575</v>
      </c>
      <c r="J115" s="674">
        <v>43373</v>
      </c>
    </row>
    <row r="116" spans="1:11" ht="15" customHeight="1" x14ac:dyDescent="0.25">
      <c r="A116" s="274" t="s">
        <v>7</v>
      </c>
      <c r="B116" s="271" t="s">
        <v>13</v>
      </c>
      <c r="C116" s="275" t="s">
        <v>982</v>
      </c>
      <c r="D116" s="323" t="str">
        <f ca="1">IFERROR(OFFSET(Camp_List[P_Code],MATCH(Data_Demography_t[[#This Row],[Camp]],Camp_List[Camp Name],0)-1,0,1,1),"")</f>
        <v>MMR012CMP017</v>
      </c>
      <c r="E116" s="276" t="s">
        <v>607</v>
      </c>
      <c r="F116" s="277" t="s">
        <v>676</v>
      </c>
      <c r="G116" s="272">
        <v>222</v>
      </c>
      <c r="H116" s="130">
        <f t="shared" si="2"/>
        <v>-222</v>
      </c>
      <c r="I116" s="275" t="s">
        <v>575</v>
      </c>
      <c r="J116" s="674">
        <v>43373</v>
      </c>
    </row>
    <row r="117" spans="1:11" ht="15" customHeight="1" x14ac:dyDescent="0.25">
      <c r="A117" s="274" t="s">
        <v>7</v>
      </c>
      <c r="B117" s="271" t="s">
        <v>13</v>
      </c>
      <c r="C117" s="275" t="s">
        <v>982</v>
      </c>
      <c r="D117" s="323" t="str">
        <f ca="1">IFERROR(OFFSET(Camp_List[P_Code],MATCH(Data_Demography_t[[#This Row],[Camp]],Camp_List[Camp Name],0)-1,0,1,1),"")</f>
        <v>MMR012CMP017</v>
      </c>
      <c r="E117" s="276" t="s">
        <v>607</v>
      </c>
      <c r="F117" s="277" t="s">
        <v>677</v>
      </c>
      <c r="G117" s="272">
        <v>220</v>
      </c>
      <c r="H117" s="130">
        <f t="shared" si="2"/>
        <v>220</v>
      </c>
      <c r="I117" s="275" t="s">
        <v>575</v>
      </c>
      <c r="J117" s="674">
        <v>43373</v>
      </c>
    </row>
    <row r="118" spans="1:11" ht="15" customHeight="1" x14ac:dyDescent="0.25">
      <c r="A118" s="274" t="s">
        <v>7</v>
      </c>
      <c r="B118" s="271" t="s">
        <v>13</v>
      </c>
      <c r="C118" s="275" t="s">
        <v>982</v>
      </c>
      <c r="D118" s="323" t="str">
        <f ca="1">IFERROR(OFFSET(Camp_List[P_Code],MATCH(Data_Demography_t[[#This Row],[Camp]],Camp_List[Camp Name],0)-1,0,1,1),"")</f>
        <v>MMR012CMP017</v>
      </c>
      <c r="E118" s="276" t="s">
        <v>829</v>
      </c>
      <c r="F118" s="277" t="s">
        <v>676</v>
      </c>
      <c r="G118" s="272">
        <v>336</v>
      </c>
      <c r="H118" s="130">
        <f t="shared" si="2"/>
        <v>-336</v>
      </c>
      <c r="I118" s="275" t="s">
        <v>575</v>
      </c>
      <c r="J118" s="674">
        <v>43373</v>
      </c>
    </row>
    <row r="119" spans="1:11" ht="15" customHeight="1" x14ac:dyDescent="0.25">
      <c r="A119" s="274" t="s">
        <v>7</v>
      </c>
      <c r="B119" s="271" t="s">
        <v>13</v>
      </c>
      <c r="C119" s="275" t="s">
        <v>982</v>
      </c>
      <c r="D119" s="323" t="str">
        <f ca="1">IFERROR(OFFSET(Camp_List[P_Code],MATCH(Data_Demography_t[[#This Row],[Camp]],Camp_List[Camp Name],0)-1,0,1,1),"")</f>
        <v>MMR012CMP017</v>
      </c>
      <c r="E119" s="276" t="s">
        <v>829</v>
      </c>
      <c r="F119" s="277" t="s">
        <v>677</v>
      </c>
      <c r="G119" s="272">
        <v>476</v>
      </c>
      <c r="H119" s="130">
        <f t="shared" si="2"/>
        <v>476</v>
      </c>
      <c r="I119" s="275" t="s">
        <v>575</v>
      </c>
      <c r="J119" s="674">
        <v>43373</v>
      </c>
    </row>
    <row r="120" spans="1:11" ht="15" customHeight="1" x14ac:dyDescent="0.25">
      <c r="A120" s="274" t="s">
        <v>7</v>
      </c>
      <c r="B120" s="271" t="s">
        <v>13</v>
      </c>
      <c r="C120" s="275" t="s">
        <v>982</v>
      </c>
      <c r="D120" s="323" t="str">
        <f ca="1">IFERROR(OFFSET(Camp_List[P_Code],MATCH(Data_Demography_t[[#This Row],[Camp]],Camp_List[Camp Name],0)-1,0,1,1),"")</f>
        <v>MMR012CMP017</v>
      </c>
      <c r="E120" s="276" t="s">
        <v>830</v>
      </c>
      <c r="F120" s="277" t="s">
        <v>676</v>
      </c>
      <c r="G120" s="272">
        <v>426</v>
      </c>
      <c r="H120" s="130">
        <f t="shared" si="2"/>
        <v>-426</v>
      </c>
      <c r="I120" s="275" t="s">
        <v>575</v>
      </c>
      <c r="J120" s="674">
        <v>43373</v>
      </c>
    </row>
    <row r="121" spans="1:11" ht="15" customHeight="1" x14ac:dyDescent="0.25">
      <c r="A121" s="274" t="s">
        <v>7</v>
      </c>
      <c r="B121" s="271" t="s">
        <v>13</v>
      </c>
      <c r="C121" s="275" t="s">
        <v>982</v>
      </c>
      <c r="D121" s="323" t="str">
        <f ca="1">IFERROR(OFFSET(Camp_List[P_Code],MATCH(Data_Demography_t[[#This Row],[Camp]],Camp_List[Camp Name],0)-1,0,1,1),"")</f>
        <v>MMR012CMP017</v>
      </c>
      <c r="E121" s="276" t="s">
        <v>830</v>
      </c>
      <c r="F121" s="277" t="s">
        <v>677</v>
      </c>
      <c r="G121" s="272">
        <v>348</v>
      </c>
      <c r="H121" s="130">
        <f t="shared" si="2"/>
        <v>348</v>
      </c>
      <c r="I121" s="275" t="s">
        <v>575</v>
      </c>
      <c r="J121" s="674">
        <v>43373</v>
      </c>
    </row>
    <row r="122" spans="1:11" ht="15" customHeight="1" x14ac:dyDescent="0.25">
      <c r="A122" s="274" t="s">
        <v>7</v>
      </c>
      <c r="B122" s="271" t="s">
        <v>13</v>
      </c>
      <c r="C122" s="275" t="s">
        <v>982</v>
      </c>
      <c r="D122" s="323" t="str">
        <f ca="1">IFERROR(OFFSET(Camp_List[P_Code],MATCH(Data_Demography_t[[#This Row],[Camp]],Camp_List[Camp Name],0)-1,0,1,1),"")</f>
        <v>MMR012CMP017</v>
      </c>
      <c r="E122" s="276" t="s">
        <v>806</v>
      </c>
      <c r="F122" s="277" t="s">
        <v>676</v>
      </c>
      <c r="G122" s="272">
        <v>88</v>
      </c>
      <c r="H122" s="130">
        <f t="shared" si="2"/>
        <v>-88</v>
      </c>
      <c r="I122" s="275" t="s">
        <v>575</v>
      </c>
      <c r="J122" s="674">
        <v>43373</v>
      </c>
    </row>
    <row r="123" spans="1:11" ht="15" customHeight="1" x14ac:dyDescent="0.25">
      <c r="A123" s="274" t="s">
        <v>7</v>
      </c>
      <c r="B123" s="271" t="s">
        <v>13</v>
      </c>
      <c r="C123" s="275" t="s">
        <v>982</v>
      </c>
      <c r="D123" s="323" t="str">
        <f ca="1">IFERROR(OFFSET(Camp_List[P_Code],MATCH(Data_Demography_t[[#This Row],[Camp]],Camp_List[Camp Name],0)-1,0,1,1),"")</f>
        <v>MMR012CMP017</v>
      </c>
      <c r="E123" s="276" t="s">
        <v>806</v>
      </c>
      <c r="F123" s="277" t="s">
        <v>677</v>
      </c>
      <c r="G123" s="272">
        <v>66</v>
      </c>
      <c r="H123" s="130">
        <f t="shared" si="2"/>
        <v>66</v>
      </c>
      <c r="I123" s="275" t="s">
        <v>575</v>
      </c>
      <c r="J123" s="674">
        <v>43373</v>
      </c>
    </row>
    <row r="124" spans="1:11" ht="15" customHeight="1" x14ac:dyDescent="0.25">
      <c r="A124" s="274" t="s">
        <v>7</v>
      </c>
      <c r="B124" s="271" t="s">
        <v>17</v>
      </c>
      <c r="C124" s="275" t="s">
        <v>585</v>
      </c>
      <c r="D124" s="323" t="str">
        <f ca="1">IFERROR(OFFSET(Camp_List[P_Code],MATCH(Data_Demography_t[[#This Row],[Camp]],Camp_List[Camp Name],0)-1,0,1,1),"")</f>
        <v>MMR012CMP098</v>
      </c>
      <c r="E124" s="389" t="s">
        <v>1038</v>
      </c>
      <c r="F124" s="287" t="s">
        <v>676</v>
      </c>
      <c r="G124" s="272">
        <v>460</v>
      </c>
      <c r="H124" s="130">
        <f t="shared" si="2"/>
        <v>-460</v>
      </c>
      <c r="I124" s="275" t="s">
        <v>273</v>
      </c>
      <c r="J124" s="674">
        <v>43373</v>
      </c>
    </row>
    <row r="125" spans="1:11" ht="15" customHeight="1" x14ac:dyDescent="0.25">
      <c r="A125" s="274" t="s">
        <v>7</v>
      </c>
      <c r="B125" s="271" t="s">
        <v>17</v>
      </c>
      <c r="C125" s="275" t="s">
        <v>585</v>
      </c>
      <c r="D125" s="323" t="str">
        <f ca="1">IFERROR(OFFSET(Camp_List[P_Code],MATCH(Data_Demography_t[[#This Row],[Camp]],Camp_List[Camp Name],0)-1,0,1,1),"")</f>
        <v>MMR012CMP098</v>
      </c>
      <c r="E125" s="389" t="s">
        <v>1038</v>
      </c>
      <c r="F125" s="287" t="s">
        <v>677</v>
      </c>
      <c r="G125" s="272">
        <v>478</v>
      </c>
      <c r="H125" s="130">
        <f t="shared" si="2"/>
        <v>478</v>
      </c>
      <c r="I125" s="275" t="s">
        <v>273</v>
      </c>
      <c r="J125" s="674">
        <v>43373</v>
      </c>
    </row>
    <row r="126" spans="1:11" s="645" customFormat="1" ht="15" customHeight="1" x14ac:dyDescent="0.25">
      <c r="A126" s="274" t="s">
        <v>7</v>
      </c>
      <c r="B126" s="271" t="s">
        <v>17</v>
      </c>
      <c r="C126" s="275" t="s">
        <v>585</v>
      </c>
      <c r="D126" s="323" t="str">
        <f ca="1">IFERROR(OFFSET(Camp_List[P_Code],MATCH(Data_Demography_t[[#This Row],[Camp]],Camp_List[Camp Name],0)-1,0,1,1),"")</f>
        <v>MMR012CMP098</v>
      </c>
      <c r="E126" s="389" t="s">
        <v>828</v>
      </c>
      <c r="F126" s="287" t="s">
        <v>676</v>
      </c>
      <c r="G126" s="322">
        <v>435</v>
      </c>
      <c r="H126" s="130">
        <f t="shared" si="2"/>
        <v>-435</v>
      </c>
      <c r="I126" s="275" t="s">
        <v>273</v>
      </c>
      <c r="J126" s="674">
        <v>43373</v>
      </c>
      <c r="K126" s="268"/>
    </row>
    <row r="127" spans="1:11" s="645" customFormat="1" ht="15" customHeight="1" x14ac:dyDescent="0.25">
      <c r="A127" s="274" t="s">
        <v>7</v>
      </c>
      <c r="B127" s="271" t="s">
        <v>17</v>
      </c>
      <c r="C127" s="275" t="s">
        <v>585</v>
      </c>
      <c r="D127" s="323" t="str">
        <f ca="1">IFERROR(OFFSET(Camp_List[P_Code],MATCH(Data_Demography_t[[#This Row],[Camp]],Camp_List[Camp Name],0)-1,0,1,1),"")</f>
        <v>MMR012CMP098</v>
      </c>
      <c r="E127" s="389" t="s">
        <v>828</v>
      </c>
      <c r="F127" s="287" t="s">
        <v>677</v>
      </c>
      <c r="G127" s="322">
        <v>359</v>
      </c>
      <c r="H127" s="130">
        <f t="shared" si="2"/>
        <v>359</v>
      </c>
      <c r="I127" s="275" t="s">
        <v>273</v>
      </c>
      <c r="J127" s="674">
        <v>43373</v>
      </c>
      <c r="K127" s="268"/>
    </row>
    <row r="128" spans="1:11" ht="15" customHeight="1" x14ac:dyDescent="0.25">
      <c r="A128" s="274" t="s">
        <v>7</v>
      </c>
      <c r="B128" s="271" t="s">
        <v>17</v>
      </c>
      <c r="C128" s="275" t="s">
        <v>585</v>
      </c>
      <c r="D128" s="323" t="str">
        <f ca="1">IFERROR(OFFSET(Camp_List[P_Code],MATCH(Data_Demography_t[[#This Row],[Camp]],Camp_List[Camp Name],0)-1,0,1,1),"")</f>
        <v>MMR012CMP098</v>
      </c>
      <c r="E128" s="289" t="s">
        <v>607</v>
      </c>
      <c r="F128" s="287" t="s">
        <v>676</v>
      </c>
      <c r="G128" s="863">
        <v>355</v>
      </c>
      <c r="H128" s="130">
        <f t="shared" si="2"/>
        <v>-355</v>
      </c>
      <c r="I128" s="275" t="s">
        <v>273</v>
      </c>
      <c r="J128" s="674">
        <v>43373</v>
      </c>
    </row>
    <row r="129" spans="1:11" ht="15" customHeight="1" x14ac:dyDescent="0.25">
      <c r="A129" s="274" t="s">
        <v>7</v>
      </c>
      <c r="B129" s="271" t="s">
        <v>17</v>
      </c>
      <c r="C129" s="275" t="s">
        <v>585</v>
      </c>
      <c r="D129" s="323" t="str">
        <f ca="1">IFERROR(OFFSET(Camp_List[P_Code],MATCH(Data_Demography_t[[#This Row],[Camp]],Camp_List[Camp Name],0)-1,0,1,1),"")</f>
        <v>MMR012CMP098</v>
      </c>
      <c r="E129" s="289" t="s">
        <v>607</v>
      </c>
      <c r="F129" s="287" t="s">
        <v>677</v>
      </c>
      <c r="G129" s="863">
        <v>282</v>
      </c>
      <c r="H129" s="130">
        <f t="shared" si="2"/>
        <v>282</v>
      </c>
      <c r="I129" s="275" t="s">
        <v>273</v>
      </c>
      <c r="J129" s="674">
        <v>43373</v>
      </c>
    </row>
    <row r="130" spans="1:11" ht="15" customHeight="1" x14ac:dyDescent="0.25">
      <c r="A130" s="274" t="s">
        <v>7</v>
      </c>
      <c r="B130" s="271" t="s">
        <v>17</v>
      </c>
      <c r="C130" s="275" t="s">
        <v>585</v>
      </c>
      <c r="D130" s="323" t="str">
        <f ca="1">IFERROR(OFFSET(Camp_List[P_Code],MATCH(Data_Demography_t[[#This Row],[Camp]],Camp_List[Camp Name],0)-1,0,1,1),"")</f>
        <v>MMR012CMP098</v>
      </c>
      <c r="E130" s="276" t="s">
        <v>829</v>
      </c>
      <c r="F130" s="275" t="s">
        <v>676</v>
      </c>
      <c r="G130" s="863">
        <v>340</v>
      </c>
      <c r="H130" s="130">
        <f t="shared" si="2"/>
        <v>-340</v>
      </c>
      <c r="I130" s="275" t="s">
        <v>273</v>
      </c>
      <c r="J130" s="674">
        <v>43373</v>
      </c>
    </row>
    <row r="131" spans="1:11" ht="15" customHeight="1" x14ac:dyDescent="0.25">
      <c r="A131" s="274" t="s">
        <v>7</v>
      </c>
      <c r="B131" s="271" t="s">
        <v>17</v>
      </c>
      <c r="C131" s="275" t="s">
        <v>585</v>
      </c>
      <c r="D131" s="323" t="str">
        <f ca="1">IFERROR(OFFSET(Camp_List[P_Code],MATCH(Data_Demography_t[[#This Row],[Camp]],Camp_List[Camp Name],0)-1,0,1,1),"")</f>
        <v>MMR012CMP098</v>
      </c>
      <c r="E131" s="276" t="s">
        <v>829</v>
      </c>
      <c r="F131" s="311" t="s">
        <v>677</v>
      </c>
      <c r="G131" s="863">
        <v>453</v>
      </c>
      <c r="H131" s="130">
        <f t="shared" si="2"/>
        <v>453</v>
      </c>
      <c r="I131" s="275" t="s">
        <v>273</v>
      </c>
      <c r="J131" s="674">
        <v>43373</v>
      </c>
    </row>
    <row r="132" spans="1:11" ht="15" customHeight="1" x14ac:dyDescent="0.25">
      <c r="A132" s="274" t="s">
        <v>7</v>
      </c>
      <c r="B132" s="271" t="s">
        <v>17</v>
      </c>
      <c r="C132" s="275" t="s">
        <v>585</v>
      </c>
      <c r="D132" s="323" t="str">
        <f ca="1">IFERROR(OFFSET(Camp_List[P_Code],MATCH(Data_Demography_t[[#This Row],[Camp]],Camp_List[Camp Name],0)-1,0,1,1),"")</f>
        <v>MMR012CMP098</v>
      </c>
      <c r="E132" s="276" t="s">
        <v>830</v>
      </c>
      <c r="F132" s="275" t="s">
        <v>676</v>
      </c>
      <c r="G132" s="272">
        <v>413</v>
      </c>
      <c r="H132" s="130">
        <f t="shared" si="2"/>
        <v>-413</v>
      </c>
      <c r="I132" s="275" t="s">
        <v>273</v>
      </c>
      <c r="J132" s="674">
        <v>43373</v>
      </c>
    </row>
    <row r="133" spans="1:11" ht="15" customHeight="1" x14ac:dyDescent="0.25">
      <c r="A133" s="274" t="s">
        <v>7</v>
      </c>
      <c r="B133" s="271" t="s">
        <v>17</v>
      </c>
      <c r="C133" s="275" t="s">
        <v>585</v>
      </c>
      <c r="D133" s="323" t="str">
        <f ca="1">IFERROR(OFFSET(Camp_List[P_Code],MATCH(Data_Demography_t[[#This Row],[Camp]],Camp_List[Camp Name],0)-1,0,1,1),"")</f>
        <v>MMR012CMP098</v>
      </c>
      <c r="E133" s="276" t="s">
        <v>830</v>
      </c>
      <c r="F133" s="311" t="s">
        <v>677</v>
      </c>
      <c r="G133" s="272">
        <v>348</v>
      </c>
      <c r="H133" s="130">
        <f t="shared" si="2"/>
        <v>348</v>
      </c>
      <c r="I133" s="275" t="s">
        <v>273</v>
      </c>
      <c r="J133" s="674">
        <v>43373</v>
      </c>
    </row>
    <row r="134" spans="1:11" ht="15" customHeight="1" x14ac:dyDescent="0.25">
      <c r="A134" s="274" t="s">
        <v>7</v>
      </c>
      <c r="B134" s="271" t="s">
        <v>17</v>
      </c>
      <c r="C134" s="275" t="s">
        <v>585</v>
      </c>
      <c r="D134" s="323" t="str">
        <f ca="1">IFERROR(OFFSET(Camp_List[P_Code],MATCH(Data_Demography_t[[#This Row],[Camp]],Camp_List[Camp Name],0)-1,0,1,1),"")</f>
        <v>MMR012CMP098</v>
      </c>
      <c r="E134" s="276" t="s">
        <v>806</v>
      </c>
      <c r="F134" s="275" t="s">
        <v>676</v>
      </c>
      <c r="G134" s="272">
        <v>45</v>
      </c>
      <c r="H134" s="130">
        <f t="shared" si="2"/>
        <v>-45</v>
      </c>
      <c r="I134" s="275" t="s">
        <v>273</v>
      </c>
      <c r="J134" s="674">
        <v>43373</v>
      </c>
    </row>
    <row r="135" spans="1:11" ht="15" customHeight="1" x14ac:dyDescent="0.25">
      <c r="A135" s="274" t="s">
        <v>7</v>
      </c>
      <c r="B135" s="271" t="s">
        <v>17</v>
      </c>
      <c r="C135" s="275" t="s">
        <v>585</v>
      </c>
      <c r="D135" s="323" t="str">
        <f ca="1">IFERROR(OFFSET(Camp_List[P_Code],MATCH(Data_Demography_t[[#This Row],[Camp]],Camp_List[Camp Name],0)-1,0,1,1),"")</f>
        <v>MMR012CMP098</v>
      </c>
      <c r="E135" s="276" t="s">
        <v>806</v>
      </c>
      <c r="F135" s="311" t="s">
        <v>677</v>
      </c>
      <c r="G135" s="272">
        <v>39</v>
      </c>
      <c r="H135" s="130">
        <f t="shared" si="2"/>
        <v>39</v>
      </c>
      <c r="I135" s="275" t="s">
        <v>273</v>
      </c>
      <c r="J135" s="674">
        <v>43373</v>
      </c>
    </row>
    <row r="136" spans="1:11" ht="15" customHeight="1" x14ac:dyDescent="0.25">
      <c r="A136" s="309" t="s">
        <v>7</v>
      </c>
      <c r="B136" s="310" t="s">
        <v>17</v>
      </c>
      <c r="C136" s="313" t="s">
        <v>586</v>
      </c>
      <c r="D136" s="323" t="str">
        <f ca="1">IFERROR(OFFSET(Camp_List[P_Code],MATCH(Data_Demography_t[[#This Row],[Camp]],Camp_List[Camp Name],0)-1,0,1,1),"")</f>
        <v>MMR012CMP115</v>
      </c>
      <c r="E136" s="389" t="s">
        <v>1038</v>
      </c>
      <c r="F136" s="315" t="s">
        <v>676</v>
      </c>
      <c r="G136" s="885">
        <v>1563</v>
      </c>
      <c r="H136" s="130">
        <f t="shared" si="2"/>
        <v>-1563</v>
      </c>
      <c r="I136" s="313" t="s">
        <v>273</v>
      </c>
      <c r="J136" s="674">
        <v>43373</v>
      </c>
    </row>
    <row r="137" spans="1:11" ht="15" customHeight="1" x14ac:dyDescent="0.25">
      <c r="A137" s="309" t="s">
        <v>7</v>
      </c>
      <c r="B137" s="310" t="s">
        <v>17</v>
      </c>
      <c r="C137" s="313" t="s">
        <v>586</v>
      </c>
      <c r="D137" s="323" t="str">
        <f ca="1">IFERROR(OFFSET(Camp_List[P_Code],MATCH(Data_Demography_t[[#This Row],[Camp]],Camp_List[Camp Name],0)-1,0,1,1),"")</f>
        <v>MMR012CMP115</v>
      </c>
      <c r="E137" s="389" t="s">
        <v>1038</v>
      </c>
      <c r="F137" s="315" t="s">
        <v>677</v>
      </c>
      <c r="G137" s="885">
        <v>1446</v>
      </c>
      <c r="H137" s="130">
        <f t="shared" si="2"/>
        <v>1446</v>
      </c>
      <c r="I137" s="313" t="s">
        <v>273</v>
      </c>
      <c r="J137" s="674">
        <v>43373</v>
      </c>
    </row>
    <row r="138" spans="1:11" ht="15" customHeight="1" x14ac:dyDescent="0.25">
      <c r="A138" s="309" t="s">
        <v>7</v>
      </c>
      <c r="B138" s="310" t="s">
        <v>17</v>
      </c>
      <c r="C138" s="313" t="s">
        <v>586</v>
      </c>
      <c r="D138" s="323" t="str">
        <f ca="1">IFERROR(OFFSET(Camp_List[P_Code],MATCH(Data_Demography_t[[#This Row],[Camp]],Camp_List[Camp Name],0)-1,0,1,1),"")</f>
        <v>MMR012CMP115</v>
      </c>
      <c r="E138" s="389" t="s">
        <v>828</v>
      </c>
      <c r="F138" s="315" t="s">
        <v>676</v>
      </c>
      <c r="G138" s="885">
        <v>1417</v>
      </c>
      <c r="H138" s="130">
        <f t="shared" si="2"/>
        <v>-1417</v>
      </c>
      <c r="I138" s="313" t="s">
        <v>273</v>
      </c>
      <c r="J138" s="674">
        <v>43373</v>
      </c>
    </row>
    <row r="139" spans="1:11" ht="15" customHeight="1" x14ac:dyDescent="0.25">
      <c r="A139" s="309" t="s">
        <v>7</v>
      </c>
      <c r="B139" s="310" t="s">
        <v>17</v>
      </c>
      <c r="C139" s="313" t="s">
        <v>586</v>
      </c>
      <c r="D139" s="323" t="str">
        <f ca="1">IFERROR(OFFSET(Camp_List[P_Code],MATCH(Data_Demography_t[[#This Row],[Camp]],Camp_List[Camp Name],0)-1,0,1,1),"")</f>
        <v>MMR012CMP115</v>
      </c>
      <c r="E139" s="389" t="s">
        <v>828</v>
      </c>
      <c r="F139" s="315" t="s">
        <v>677</v>
      </c>
      <c r="G139" s="885">
        <v>1219</v>
      </c>
      <c r="H139" s="130">
        <f t="shared" si="2"/>
        <v>1219</v>
      </c>
      <c r="I139" s="313" t="s">
        <v>273</v>
      </c>
      <c r="J139" s="674">
        <v>43373</v>
      </c>
    </row>
    <row r="140" spans="1:11" s="645" customFormat="1" ht="15" customHeight="1" x14ac:dyDescent="0.25">
      <c r="A140" s="309" t="s">
        <v>7</v>
      </c>
      <c r="B140" s="310" t="s">
        <v>17</v>
      </c>
      <c r="C140" s="313" t="s">
        <v>586</v>
      </c>
      <c r="D140" s="323" t="str">
        <f ca="1">IFERROR(OFFSET(Camp_List[P_Code],MATCH(Data_Demography_t[[#This Row],[Camp]],Camp_List[Camp Name],0)-1,0,1,1),"")</f>
        <v>MMR012CMP115</v>
      </c>
      <c r="E140" s="314" t="s">
        <v>607</v>
      </c>
      <c r="F140" s="315" t="s">
        <v>676</v>
      </c>
      <c r="G140" s="885">
        <v>985</v>
      </c>
      <c r="H140" s="130">
        <f t="shared" si="2"/>
        <v>-985</v>
      </c>
      <c r="I140" s="313" t="s">
        <v>273</v>
      </c>
      <c r="J140" s="674">
        <v>43373</v>
      </c>
      <c r="K140" s="268"/>
    </row>
    <row r="141" spans="1:11" s="645" customFormat="1" ht="15" customHeight="1" x14ac:dyDescent="0.25">
      <c r="A141" s="309" t="s">
        <v>7</v>
      </c>
      <c r="B141" s="310" t="s">
        <v>17</v>
      </c>
      <c r="C141" s="313" t="s">
        <v>586</v>
      </c>
      <c r="D141" s="323" t="str">
        <f ca="1">IFERROR(OFFSET(Camp_List[P_Code],MATCH(Data_Demography_t[[#This Row],[Camp]],Camp_List[Camp Name],0)-1,0,1,1),"")</f>
        <v>MMR012CMP115</v>
      </c>
      <c r="E141" s="314" t="s">
        <v>607</v>
      </c>
      <c r="F141" s="315" t="s">
        <v>677</v>
      </c>
      <c r="G141" s="885">
        <v>909</v>
      </c>
      <c r="H141" s="130">
        <f t="shared" si="2"/>
        <v>909</v>
      </c>
      <c r="I141" s="313" t="s">
        <v>273</v>
      </c>
      <c r="J141" s="674">
        <v>43373</v>
      </c>
      <c r="K141" s="268"/>
    </row>
    <row r="142" spans="1:11" ht="15" customHeight="1" x14ac:dyDescent="0.25">
      <c r="A142" s="274" t="s">
        <v>7</v>
      </c>
      <c r="B142" s="271" t="s">
        <v>17</v>
      </c>
      <c r="C142" s="275" t="s">
        <v>586</v>
      </c>
      <c r="D142" s="323" t="str">
        <f ca="1">IFERROR(OFFSET(Camp_List[P_Code],MATCH(Data_Demography_t[[#This Row],[Camp]],Camp_List[Camp Name],0)-1,0,1,1),"")</f>
        <v>MMR012CMP115</v>
      </c>
      <c r="E142" s="289" t="s">
        <v>829</v>
      </c>
      <c r="F142" s="287" t="s">
        <v>676</v>
      </c>
      <c r="G142" s="863">
        <v>1061</v>
      </c>
      <c r="H142" s="130">
        <f t="shared" si="2"/>
        <v>-1061</v>
      </c>
      <c r="I142" s="275" t="s">
        <v>273</v>
      </c>
      <c r="J142" s="674">
        <v>43373</v>
      </c>
    </row>
    <row r="143" spans="1:11" ht="15" customHeight="1" x14ac:dyDescent="0.25">
      <c r="A143" s="274" t="s">
        <v>7</v>
      </c>
      <c r="B143" s="271" t="s">
        <v>17</v>
      </c>
      <c r="C143" s="275" t="s">
        <v>586</v>
      </c>
      <c r="D143" s="323" t="str">
        <f ca="1">IFERROR(OFFSET(Camp_List[P_Code],MATCH(Data_Demography_t[[#This Row],[Camp]],Camp_List[Camp Name],0)-1,0,1,1),"")</f>
        <v>MMR012CMP115</v>
      </c>
      <c r="E143" s="289" t="s">
        <v>829</v>
      </c>
      <c r="F143" s="287" t="s">
        <v>677</v>
      </c>
      <c r="G143" s="863">
        <v>1517</v>
      </c>
      <c r="H143" s="130">
        <f t="shared" si="2"/>
        <v>1517</v>
      </c>
      <c r="I143" s="275" t="s">
        <v>273</v>
      </c>
      <c r="J143" s="674">
        <v>43373</v>
      </c>
    </row>
    <row r="144" spans="1:11" ht="15" customHeight="1" x14ac:dyDescent="0.25">
      <c r="A144" s="274" t="s">
        <v>7</v>
      </c>
      <c r="B144" s="271" t="s">
        <v>17</v>
      </c>
      <c r="C144" s="275" t="s">
        <v>586</v>
      </c>
      <c r="D144" s="323" t="str">
        <f ca="1">IFERROR(OFFSET(Camp_List[P_Code],MATCH(Data_Demography_t[[#This Row],[Camp]],Camp_List[Camp Name],0)-1,0,1,1),"")</f>
        <v>MMR012CMP115</v>
      </c>
      <c r="E144" s="289" t="s">
        <v>830</v>
      </c>
      <c r="F144" s="287" t="s">
        <v>676</v>
      </c>
      <c r="G144" s="863">
        <v>1463</v>
      </c>
      <c r="H144" s="130">
        <f t="shared" si="2"/>
        <v>-1463</v>
      </c>
      <c r="I144" s="275" t="s">
        <v>273</v>
      </c>
      <c r="J144" s="674">
        <v>43373</v>
      </c>
    </row>
    <row r="145" spans="1:11" ht="15" customHeight="1" x14ac:dyDescent="0.25">
      <c r="A145" s="274" t="s">
        <v>7</v>
      </c>
      <c r="B145" s="271" t="s">
        <v>17</v>
      </c>
      <c r="C145" s="275" t="s">
        <v>586</v>
      </c>
      <c r="D145" s="323" t="str">
        <f ca="1">IFERROR(OFFSET(Camp_List[P_Code],MATCH(Data_Demography_t[[#This Row],[Camp]],Camp_List[Camp Name],0)-1,0,1,1),"")</f>
        <v>MMR012CMP115</v>
      </c>
      <c r="E145" s="289" t="s">
        <v>830</v>
      </c>
      <c r="F145" s="287" t="s">
        <v>677</v>
      </c>
      <c r="G145" s="863">
        <v>1580</v>
      </c>
      <c r="H145" s="130">
        <f t="shared" si="2"/>
        <v>1580</v>
      </c>
      <c r="I145" s="275" t="s">
        <v>273</v>
      </c>
      <c r="J145" s="674">
        <v>43373</v>
      </c>
    </row>
    <row r="146" spans="1:11" ht="15" customHeight="1" x14ac:dyDescent="0.25">
      <c r="A146" s="274" t="s">
        <v>7</v>
      </c>
      <c r="B146" s="271" t="s">
        <v>17</v>
      </c>
      <c r="C146" s="275" t="s">
        <v>586</v>
      </c>
      <c r="D146" s="323" t="str">
        <f ca="1">IFERROR(OFFSET(Camp_List[P_Code],MATCH(Data_Demography_t[[#This Row],[Camp]],Camp_List[Camp Name],0)-1,0,1,1),"")</f>
        <v>MMR012CMP115</v>
      </c>
      <c r="E146" s="289" t="s">
        <v>806</v>
      </c>
      <c r="F146" s="287" t="s">
        <v>676</v>
      </c>
      <c r="G146" s="863">
        <v>312</v>
      </c>
      <c r="H146" s="130">
        <f t="shared" si="2"/>
        <v>-312</v>
      </c>
      <c r="I146" s="275" t="s">
        <v>273</v>
      </c>
      <c r="J146" s="674">
        <v>43373</v>
      </c>
    </row>
    <row r="147" spans="1:11" ht="15" customHeight="1" x14ac:dyDescent="0.25">
      <c r="A147" s="274" t="s">
        <v>7</v>
      </c>
      <c r="B147" s="271" t="s">
        <v>17</v>
      </c>
      <c r="C147" s="275" t="s">
        <v>586</v>
      </c>
      <c r="D147" s="323" t="str">
        <f ca="1">IFERROR(OFFSET(Camp_List[P_Code],MATCH(Data_Demography_t[[#This Row],[Camp]],Camp_List[Camp Name],0)-1,0,1,1),"")</f>
        <v>MMR012CMP115</v>
      </c>
      <c r="E147" s="289" t="s">
        <v>806</v>
      </c>
      <c r="F147" s="287" t="s">
        <v>677</v>
      </c>
      <c r="G147" s="863">
        <v>322</v>
      </c>
      <c r="H147" s="130">
        <f t="shared" si="2"/>
        <v>322</v>
      </c>
      <c r="I147" s="275" t="s">
        <v>273</v>
      </c>
      <c r="J147" s="674">
        <v>43373</v>
      </c>
    </row>
    <row r="148" spans="1:11" ht="15" customHeight="1" x14ac:dyDescent="0.25">
      <c r="A148" s="274" t="s">
        <v>7</v>
      </c>
      <c r="B148" s="271" t="s">
        <v>17</v>
      </c>
      <c r="C148" s="271" t="s">
        <v>587</v>
      </c>
      <c r="D148" s="323" t="str">
        <f ca="1">IFERROR(OFFSET(Camp_List[P_Code],MATCH(Data_Demography_t[[#This Row],[Camp]],Camp_List[Camp Name],0)-1,0,1,1),"")</f>
        <v>MMR012CMP116</v>
      </c>
      <c r="E148" s="389" t="s">
        <v>1038</v>
      </c>
      <c r="F148" s="275" t="s">
        <v>676</v>
      </c>
      <c r="G148" s="272">
        <v>1116</v>
      </c>
      <c r="H148" s="130">
        <f t="shared" si="2"/>
        <v>-1116</v>
      </c>
      <c r="I148" s="271" t="s">
        <v>575</v>
      </c>
      <c r="J148" s="674">
        <v>43373</v>
      </c>
    </row>
    <row r="149" spans="1:11" ht="15" customHeight="1" x14ac:dyDescent="0.25">
      <c r="A149" s="274" t="s">
        <v>7</v>
      </c>
      <c r="B149" s="271" t="s">
        <v>17</v>
      </c>
      <c r="C149" s="271" t="s">
        <v>587</v>
      </c>
      <c r="D149" s="323" t="str">
        <f ca="1">IFERROR(OFFSET(Camp_List[P_Code],MATCH(Data_Demography_t[[#This Row],[Camp]],Camp_List[Camp Name],0)-1,0,1,1),"")</f>
        <v>MMR012CMP116</v>
      </c>
      <c r="E149" s="389" t="s">
        <v>1038</v>
      </c>
      <c r="F149" s="311" t="s">
        <v>677</v>
      </c>
      <c r="G149" s="272">
        <v>1041</v>
      </c>
      <c r="H149" s="130">
        <f t="shared" si="2"/>
        <v>1041</v>
      </c>
      <c r="I149" s="271" t="s">
        <v>575</v>
      </c>
      <c r="J149" s="674">
        <v>43373</v>
      </c>
    </row>
    <row r="150" spans="1:11" ht="15" customHeight="1" x14ac:dyDescent="0.25">
      <c r="A150" s="274" t="s">
        <v>7</v>
      </c>
      <c r="B150" s="271" t="s">
        <v>17</v>
      </c>
      <c r="C150" s="271" t="s">
        <v>587</v>
      </c>
      <c r="D150" s="323" t="str">
        <f ca="1">IFERROR(OFFSET(Camp_List[P_Code],MATCH(Data_Demography_t[[#This Row],[Camp]],Camp_List[Camp Name],0)-1,0,1,1),"")</f>
        <v>MMR012CMP116</v>
      </c>
      <c r="E150" s="389" t="s">
        <v>828</v>
      </c>
      <c r="F150" s="275" t="s">
        <v>676</v>
      </c>
      <c r="G150" s="272">
        <v>1250</v>
      </c>
      <c r="H150" s="130">
        <f t="shared" si="2"/>
        <v>-1250</v>
      </c>
      <c r="I150" s="271" t="s">
        <v>575</v>
      </c>
      <c r="J150" s="674">
        <v>43373</v>
      </c>
    </row>
    <row r="151" spans="1:11" ht="15" customHeight="1" x14ac:dyDescent="0.25">
      <c r="A151" s="274" t="s">
        <v>7</v>
      </c>
      <c r="B151" s="271" t="s">
        <v>17</v>
      </c>
      <c r="C151" s="271" t="s">
        <v>587</v>
      </c>
      <c r="D151" s="323" t="str">
        <f ca="1">IFERROR(OFFSET(Camp_List[P_Code],MATCH(Data_Demography_t[[#This Row],[Camp]],Camp_List[Camp Name],0)-1,0,1,1),"")</f>
        <v>MMR012CMP116</v>
      </c>
      <c r="E151" s="389" t="s">
        <v>828</v>
      </c>
      <c r="F151" s="311" t="s">
        <v>677</v>
      </c>
      <c r="G151" s="272">
        <v>1062</v>
      </c>
      <c r="H151" s="130">
        <f t="shared" si="2"/>
        <v>1062</v>
      </c>
      <c r="I151" s="271" t="s">
        <v>575</v>
      </c>
      <c r="J151" s="674">
        <v>43373</v>
      </c>
    </row>
    <row r="152" spans="1:11" ht="15" customHeight="1" x14ac:dyDescent="0.25">
      <c r="A152" s="274" t="s">
        <v>7</v>
      </c>
      <c r="B152" s="271" t="s">
        <v>17</v>
      </c>
      <c r="C152" s="271" t="s">
        <v>587</v>
      </c>
      <c r="D152" s="323" t="str">
        <f ca="1">IFERROR(OFFSET(Camp_List[P_Code],MATCH(Data_Demography_t[[#This Row],[Camp]],Camp_List[Camp Name],0)-1,0,1,1),"")</f>
        <v>MMR012CMP116</v>
      </c>
      <c r="E152" s="273" t="s">
        <v>607</v>
      </c>
      <c r="F152" s="275" t="s">
        <v>676</v>
      </c>
      <c r="G152" s="272">
        <v>899</v>
      </c>
      <c r="H152" s="130">
        <f t="shared" si="2"/>
        <v>-899</v>
      </c>
      <c r="I152" s="271" t="s">
        <v>575</v>
      </c>
      <c r="J152" s="674">
        <v>43373</v>
      </c>
    </row>
    <row r="153" spans="1:11" ht="15" customHeight="1" x14ac:dyDescent="0.25">
      <c r="A153" s="274" t="s">
        <v>7</v>
      </c>
      <c r="B153" s="271" t="s">
        <v>17</v>
      </c>
      <c r="C153" s="271" t="s">
        <v>587</v>
      </c>
      <c r="D153" s="323" t="str">
        <f ca="1">IFERROR(OFFSET(Camp_List[P_Code],MATCH(Data_Demography_t[[#This Row],[Camp]],Camp_List[Camp Name],0)-1,0,1,1),"")</f>
        <v>MMR012CMP116</v>
      </c>
      <c r="E153" s="273" t="s">
        <v>607</v>
      </c>
      <c r="F153" s="311" t="s">
        <v>677</v>
      </c>
      <c r="G153" s="272">
        <v>853</v>
      </c>
      <c r="H153" s="130">
        <f t="shared" si="2"/>
        <v>853</v>
      </c>
      <c r="I153" s="271" t="s">
        <v>575</v>
      </c>
      <c r="J153" s="674">
        <v>43373</v>
      </c>
    </row>
    <row r="154" spans="1:11" s="645" customFormat="1" ht="15" customHeight="1" x14ac:dyDescent="0.25">
      <c r="A154" s="274" t="s">
        <v>7</v>
      </c>
      <c r="B154" s="271" t="s">
        <v>17</v>
      </c>
      <c r="C154" s="271" t="s">
        <v>587</v>
      </c>
      <c r="D154" s="323" t="str">
        <f ca="1">IFERROR(OFFSET(Camp_List[P_Code],MATCH(Data_Demography_t[[#This Row],[Camp]],Camp_List[Camp Name],0)-1,0,1,1),"")</f>
        <v>MMR012CMP116</v>
      </c>
      <c r="E154" s="276" t="s">
        <v>829</v>
      </c>
      <c r="F154" s="275" t="s">
        <v>676</v>
      </c>
      <c r="G154" s="272">
        <v>633</v>
      </c>
      <c r="H154" s="130">
        <f t="shared" si="2"/>
        <v>-633</v>
      </c>
      <c r="I154" s="271" t="s">
        <v>575</v>
      </c>
      <c r="J154" s="674">
        <v>43373</v>
      </c>
      <c r="K154" s="268"/>
    </row>
    <row r="155" spans="1:11" s="645" customFormat="1" ht="15" customHeight="1" x14ac:dyDescent="0.25">
      <c r="A155" s="274" t="s">
        <v>7</v>
      </c>
      <c r="B155" s="271" t="s">
        <v>17</v>
      </c>
      <c r="C155" s="271" t="s">
        <v>587</v>
      </c>
      <c r="D155" s="323" t="str">
        <f ca="1">IFERROR(OFFSET(Camp_List[P_Code],MATCH(Data_Demography_t[[#This Row],[Camp]],Camp_List[Camp Name],0)-1,0,1,1),"")</f>
        <v>MMR012CMP116</v>
      </c>
      <c r="E155" s="276" t="s">
        <v>829</v>
      </c>
      <c r="F155" s="311" t="s">
        <v>677</v>
      </c>
      <c r="G155" s="272">
        <v>1023</v>
      </c>
      <c r="H155" s="130">
        <f t="shared" si="2"/>
        <v>1023</v>
      </c>
      <c r="I155" s="271" t="s">
        <v>575</v>
      </c>
      <c r="J155" s="674">
        <v>43373</v>
      </c>
      <c r="K155" s="268"/>
    </row>
    <row r="156" spans="1:11" ht="15" customHeight="1" x14ac:dyDescent="0.25">
      <c r="A156" s="309" t="s">
        <v>7</v>
      </c>
      <c r="B156" s="310" t="s">
        <v>17</v>
      </c>
      <c r="C156" s="313" t="s">
        <v>587</v>
      </c>
      <c r="D156" s="323" t="str">
        <f ca="1">IFERROR(OFFSET(Camp_List[P_Code],MATCH(Data_Demography_t[[#This Row],[Camp]],Camp_List[Camp Name],0)-1,0,1,1),"")</f>
        <v>MMR012CMP116</v>
      </c>
      <c r="E156" s="314" t="s">
        <v>830</v>
      </c>
      <c r="F156" s="315" t="s">
        <v>676</v>
      </c>
      <c r="G156" s="284">
        <v>1430</v>
      </c>
      <c r="H156" s="130">
        <f t="shared" ref="H156:H219" si="6">IF(F156="M",-G156,G156)</f>
        <v>-1430</v>
      </c>
      <c r="I156" s="313" t="s">
        <v>575</v>
      </c>
      <c r="J156" s="674">
        <v>43373</v>
      </c>
    </row>
    <row r="157" spans="1:11" ht="15" customHeight="1" x14ac:dyDescent="0.25">
      <c r="A157" s="309" t="s">
        <v>7</v>
      </c>
      <c r="B157" s="310" t="s">
        <v>17</v>
      </c>
      <c r="C157" s="313" t="s">
        <v>587</v>
      </c>
      <c r="D157" s="323" t="str">
        <f ca="1">IFERROR(OFFSET(Camp_List[P_Code],MATCH(Data_Demography_t[[#This Row],[Camp]],Camp_List[Camp Name],0)-1,0,1,1),"")</f>
        <v>MMR012CMP116</v>
      </c>
      <c r="E157" s="314" t="s">
        <v>830</v>
      </c>
      <c r="F157" s="315" t="s">
        <v>677</v>
      </c>
      <c r="G157" s="284">
        <v>1724</v>
      </c>
      <c r="H157" s="130">
        <f t="shared" si="6"/>
        <v>1724</v>
      </c>
      <c r="I157" s="313" t="s">
        <v>575</v>
      </c>
      <c r="J157" s="674">
        <v>43373</v>
      </c>
    </row>
    <row r="158" spans="1:11" ht="15" customHeight="1" x14ac:dyDescent="0.25">
      <c r="A158" s="309" t="s">
        <v>7</v>
      </c>
      <c r="B158" s="310" t="s">
        <v>17</v>
      </c>
      <c r="C158" s="313" t="s">
        <v>587</v>
      </c>
      <c r="D158" s="323" t="str">
        <f ca="1">IFERROR(OFFSET(Camp_List[P_Code],MATCH(Data_Demography_t[[#This Row],[Camp]],Camp_List[Camp Name],0)-1,0,1,1),"")</f>
        <v>MMR012CMP116</v>
      </c>
      <c r="E158" s="314" t="s">
        <v>806</v>
      </c>
      <c r="F158" s="315" t="s">
        <v>676</v>
      </c>
      <c r="G158" s="284">
        <v>137</v>
      </c>
      <c r="H158" s="130">
        <f t="shared" si="6"/>
        <v>-137</v>
      </c>
      <c r="I158" s="313" t="s">
        <v>575</v>
      </c>
      <c r="J158" s="674">
        <v>43373</v>
      </c>
    </row>
    <row r="159" spans="1:11" ht="15" customHeight="1" x14ac:dyDescent="0.25">
      <c r="A159" s="309" t="s">
        <v>7</v>
      </c>
      <c r="B159" s="310" t="s">
        <v>17</v>
      </c>
      <c r="C159" s="313" t="s">
        <v>587</v>
      </c>
      <c r="D159" s="323" t="str">
        <f ca="1">IFERROR(OFFSET(Camp_List[P_Code],MATCH(Data_Demography_t[[#This Row],[Camp]],Camp_List[Camp Name],0)-1,0,1,1),"")</f>
        <v>MMR012CMP116</v>
      </c>
      <c r="E159" s="314" t="s">
        <v>806</v>
      </c>
      <c r="F159" s="315" t="s">
        <v>677</v>
      </c>
      <c r="G159" s="284">
        <v>154</v>
      </c>
      <c r="H159" s="130">
        <f t="shared" si="6"/>
        <v>154</v>
      </c>
      <c r="I159" s="313" t="s">
        <v>575</v>
      </c>
      <c r="J159" s="674">
        <v>43373</v>
      </c>
    </row>
    <row r="160" spans="1:11" s="230" customFormat="1" ht="15" customHeight="1" x14ac:dyDescent="0.25">
      <c r="A160" s="274" t="s">
        <v>7</v>
      </c>
      <c r="B160" s="271" t="s">
        <v>17</v>
      </c>
      <c r="C160" s="275" t="s">
        <v>65</v>
      </c>
      <c r="D160" s="323" t="str">
        <f ca="1">IFERROR(OFFSET(Camp_List[P_Code],MATCH(Data_Demography_t[[#This Row],[Camp]],Camp_List[Camp Name],0)-1,0,1,1),"")</f>
        <v>MMR012CMP045</v>
      </c>
      <c r="E160" s="389" t="s">
        <v>1038</v>
      </c>
      <c r="F160" s="275" t="s">
        <v>676</v>
      </c>
      <c r="G160" s="272">
        <v>1370</v>
      </c>
      <c r="H160" s="130">
        <f t="shared" si="6"/>
        <v>-1370</v>
      </c>
      <c r="I160" s="275" t="s">
        <v>273</v>
      </c>
      <c r="J160" s="674">
        <v>43404</v>
      </c>
      <c r="K160" s="288"/>
    </row>
    <row r="161" spans="1:11" s="230" customFormat="1" ht="15" customHeight="1" x14ac:dyDescent="0.25">
      <c r="A161" s="274" t="s">
        <v>7</v>
      </c>
      <c r="B161" s="271" t="s">
        <v>17</v>
      </c>
      <c r="C161" s="275" t="s">
        <v>65</v>
      </c>
      <c r="D161" s="323" t="str">
        <f ca="1">IFERROR(OFFSET(Camp_List[P_Code],MATCH(Data_Demography_t[[#This Row],[Camp]],Camp_List[Camp Name],0)-1,0,1,1),"")</f>
        <v>MMR012CMP045</v>
      </c>
      <c r="E161" s="389" t="s">
        <v>1038</v>
      </c>
      <c r="F161" s="311" t="s">
        <v>677</v>
      </c>
      <c r="G161" s="272">
        <v>1322</v>
      </c>
      <c r="H161" s="130">
        <f t="shared" si="6"/>
        <v>1322</v>
      </c>
      <c r="I161" s="275" t="s">
        <v>273</v>
      </c>
      <c r="J161" s="674">
        <v>43404</v>
      </c>
      <c r="K161" s="288"/>
    </row>
    <row r="162" spans="1:11" s="230" customFormat="1" ht="15" customHeight="1" x14ac:dyDescent="0.25">
      <c r="A162" s="274" t="s">
        <v>7</v>
      </c>
      <c r="B162" s="271" t="s">
        <v>17</v>
      </c>
      <c r="C162" s="275" t="s">
        <v>65</v>
      </c>
      <c r="D162" s="323" t="str">
        <f ca="1">IFERROR(OFFSET(Camp_List[P_Code],MATCH(Data_Demography_t[[#This Row],[Camp]],Camp_List[Camp Name],0)-1,0,1,1),"")</f>
        <v>MMR012CMP045</v>
      </c>
      <c r="E162" s="389" t="s">
        <v>828</v>
      </c>
      <c r="F162" s="275" t="s">
        <v>676</v>
      </c>
      <c r="G162" s="272">
        <v>1422</v>
      </c>
      <c r="H162" s="130">
        <f t="shared" si="6"/>
        <v>-1422</v>
      </c>
      <c r="I162" s="275" t="s">
        <v>273</v>
      </c>
      <c r="J162" s="674">
        <v>43404</v>
      </c>
      <c r="K162" s="288"/>
    </row>
    <row r="163" spans="1:11" s="230" customFormat="1" ht="15" customHeight="1" x14ac:dyDescent="0.25">
      <c r="A163" s="274" t="s">
        <v>7</v>
      </c>
      <c r="B163" s="271" t="s">
        <v>17</v>
      </c>
      <c r="C163" s="275" t="s">
        <v>65</v>
      </c>
      <c r="D163" s="323" t="str">
        <f ca="1">IFERROR(OFFSET(Camp_List[P_Code],MATCH(Data_Demography_t[[#This Row],[Camp]],Camp_List[Camp Name],0)-1,0,1,1),"")</f>
        <v>MMR012CMP045</v>
      </c>
      <c r="E163" s="389" t="s">
        <v>828</v>
      </c>
      <c r="F163" s="311" t="s">
        <v>677</v>
      </c>
      <c r="G163" s="272">
        <v>1293</v>
      </c>
      <c r="H163" s="130">
        <f t="shared" si="6"/>
        <v>1293</v>
      </c>
      <c r="I163" s="275" t="s">
        <v>273</v>
      </c>
      <c r="J163" s="674">
        <v>43404</v>
      </c>
      <c r="K163" s="288"/>
    </row>
    <row r="164" spans="1:11" s="230" customFormat="1" ht="15" customHeight="1" x14ac:dyDescent="0.25">
      <c r="A164" s="274" t="s">
        <v>7</v>
      </c>
      <c r="B164" s="271" t="s">
        <v>17</v>
      </c>
      <c r="C164" s="275" t="s">
        <v>65</v>
      </c>
      <c r="D164" s="323" t="str">
        <f ca="1">IFERROR(OFFSET(Camp_List[P_Code],MATCH(Data_Demography_t[[#This Row],[Camp]],Camp_List[Camp Name],0)-1,0,1,1),"")</f>
        <v>MMR012CMP045</v>
      </c>
      <c r="E164" s="273" t="s">
        <v>607</v>
      </c>
      <c r="F164" s="275" t="s">
        <v>676</v>
      </c>
      <c r="G164" s="863">
        <v>1105</v>
      </c>
      <c r="H164" s="130">
        <f t="shared" si="6"/>
        <v>-1105</v>
      </c>
      <c r="I164" s="275" t="s">
        <v>273</v>
      </c>
      <c r="J164" s="674">
        <v>43404</v>
      </c>
      <c r="K164" s="288"/>
    </row>
    <row r="165" spans="1:11" s="230" customFormat="1" ht="15" customHeight="1" x14ac:dyDescent="0.25">
      <c r="A165" s="274" t="s">
        <v>7</v>
      </c>
      <c r="B165" s="271" t="s">
        <v>17</v>
      </c>
      <c r="C165" s="275" t="s">
        <v>65</v>
      </c>
      <c r="D165" s="323" t="str">
        <f ca="1">IFERROR(OFFSET(Camp_List[P_Code],MATCH(Data_Demography_t[[#This Row],[Camp]],Camp_List[Camp Name],0)-1,0,1,1),"")</f>
        <v>MMR012CMP045</v>
      </c>
      <c r="E165" s="273" t="s">
        <v>607</v>
      </c>
      <c r="F165" s="311" t="s">
        <v>677</v>
      </c>
      <c r="G165" s="863">
        <v>1051</v>
      </c>
      <c r="H165" s="130">
        <f t="shared" si="6"/>
        <v>1051</v>
      </c>
      <c r="I165" s="275" t="s">
        <v>273</v>
      </c>
      <c r="J165" s="674">
        <v>43404</v>
      </c>
      <c r="K165" s="288"/>
    </row>
    <row r="166" spans="1:11" s="230" customFormat="1" ht="15" customHeight="1" x14ac:dyDescent="0.25">
      <c r="A166" s="274" t="s">
        <v>7</v>
      </c>
      <c r="B166" s="271" t="s">
        <v>17</v>
      </c>
      <c r="C166" s="275" t="s">
        <v>65</v>
      </c>
      <c r="D166" s="323" t="str">
        <f ca="1">IFERROR(OFFSET(Camp_List[P_Code],MATCH(Data_Demography_t[[#This Row],[Camp]],Camp_List[Camp Name],0)-1,0,1,1),"")</f>
        <v>MMR012CMP045</v>
      </c>
      <c r="E166" s="276" t="s">
        <v>829</v>
      </c>
      <c r="F166" s="275" t="s">
        <v>676</v>
      </c>
      <c r="G166" s="272">
        <v>1054</v>
      </c>
      <c r="H166" s="130">
        <f t="shared" si="6"/>
        <v>-1054</v>
      </c>
      <c r="I166" s="275" t="s">
        <v>273</v>
      </c>
      <c r="J166" s="674">
        <v>43404</v>
      </c>
      <c r="K166" s="288"/>
    </row>
    <row r="167" spans="1:11" s="230" customFormat="1" ht="15" customHeight="1" x14ac:dyDescent="0.25">
      <c r="A167" s="274" t="s">
        <v>7</v>
      </c>
      <c r="B167" s="271" t="s">
        <v>17</v>
      </c>
      <c r="C167" s="275" t="s">
        <v>65</v>
      </c>
      <c r="D167" s="323" t="str">
        <f ca="1">IFERROR(OFFSET(Camp_List[P_Code],MATCH(Data_Demography_t[[#This Row],[Camp]],Camp_List[Camp Name],0)-1,0,1,1),"")</f>
        <v>MMR012CMP045</v>
      </c>
      <c r="E167" s="276" t="s">
        <v>829</v>
      </c>
      <c r="F167" s="311" t="s">
        <v>677</v>
      </c>
      <c r="G167" s="272">
        <v>1346</v>
      </c>
      <c r="H167" s="130">
        <f t="shared" si="6"/>
        <v>1346</v>
      </c>
      <c r="I167" s="275" t="s">
        <v>273</v>
      </c>
      <c r="J167" s="674">
        <v>43404</v>
      </c>
      <c r="K167" s="288"/>
    </row>
    <row r="168" spans="1:11" s="230" customFormat="1" ht="15" customHeight="1" x14ac:dyDescent="0.25">
      <c r="A168" s="274" t="s">
        <v>7</v>
      </c>
      <c r="B168" s="271" t="s">
        <v>17</v>
      </c>
      <c r="C168" s="275" t="s">
        <v>65</v>
      </c>
      <c r="D168" s="323" t="str">
        <f ca="1">IFERROR(OFFSET(Camp_List[P_Code],MATCH(Data_Demography_t[[#This Row],[Camp]],Camp_List[Camp Name],0)-1,0,1,1),"")</f>
        <v>MMR012CMP045</v>
      </c>
      <c r="E168" s="276" t="s">
        <v>830</v>
      </c>
      <c r="F168" s="275" t="s">
        <v>676</v>
      </c>
      <c r="G168" s="272">
        <v>1546</v>
      </c>
      <c r="H168" s="130">
        <f t="shared" si="6"/>
        <v>-1546</v>
      </c>
      <c r="I168" s="275" t="s">
        <v>273</v>
      </c>
      <c r="J168" s="674">
        <v>43404</v>
      </c>
      <c r="K168" s="288"/>
    </row>
    <row r="169" spans="1:11" s="230" customFormat="1" ht="15" customHeight="1" x14ac:dyDescent="0.25">
      <c r="A169" s="274" t="s">
        <v>7</v>
      </c>
      <c r="B169" s="271" t="s">
        <v>17</v>
      </c>
      <c r="C169" s="275" t="s">
        <v>65</v>
      </c>
      <c r="D169" s="323" t="str">
        <f ca="1">IFERROR(OFFSET(Camp_List[P_Code],MATCH(Data_Demography_t[[#This Row],[Camp]],Camp_List[Camp Name],0)-1,0,1,1),"")</f>
        <v>MMR012CMP045</v>
      </c>
      <c r="E169" s="276" t="s">
        <v>830</v>
      </c>
      <c r="F169" s="311" t="s">
        <v>677</v>
      </c>
      <c r="G169" s="272">
        <v>1716</v>
      </c>
      <c r="H169" s="130">
        <f t="shared" si="6"/>
        <v>1716</v>
      </c>
      <c r="I169" s="275" t="s">
        <v>273</v>
      </c>
      <c r="J169" s="674">
        <v>43404</v>
      </c>
      <c r="K169" s="288"/>
    </row>
    <row r="170" spans="1:11" s="230" customFormat="1" ht="15" customHeight="1" x14ac:dyDescent="0.25">
      <c r="A170" s="274" t="s">
        <v>7</v>
      </c>
      <c r="B170" s="275" t="s">
        <v>17</v>
      </c>
      <c r="C170" s="275" t="s">
        <v>65</v>
      </c>
      <c r="D170" s="323" t="str">
        <f ca="1">IFERROR(OFFSET(Camp_List[P_Code],MATCH(Data_Demography_t[[#This Row],[Camp]],Camp_List[Camp Name],0)-1,0,1,1),"")</f>
        <v>MMR012CMP045</v>
      </c>
      <c r="E170" s="289" t="s">
        <v>806</v>
      </c>
      <c r="F170" s="287" t="s">
        <v>676</v>
      </c>
      <c r="G170" s="272">
        <v>241</v>
      </c>
      <c r="H170" s="130">
        <f t="shared" si="6"/>
        <v>-241</v>
      </c>
      <c r="I170" s="275" t="s">
        <v>273</v>
      </c>
      <c r="J170" s="674">
        <v>43404</v>
      </c>
      <c r="K170" s="288"/>
    </row>
    <row r="171" spans="1:11" s="230" customFormat="1" ht="17.25" customHeight="1" x14ac:dyDescent="0.25">
      <c r="A171" s="274" t="s">
        <v>7</v>
      </c>
      <c r="B171" s="275" t="s">
        <v>17</v>
      </c>
      <c r="C171" s="275" t="s">
        <v>65</v>
      </c>
      <c r="D171" s="323" t="str">
        <f ca="1">IFERROR(OFFSET(Camp_List[P_Code],MATCH(Data_Demography_t[[#This Row],[Camp]],Camp_List[Camp Name],0)-1,0,1,1),"")</f>
        <v>MMR012CMP045</v>
      </c>
      <c r="E171" s="289" t="s">
        <v>806</v>
      </c>
      <c r="F171" s="287" t="s">
        <v>677</v>
      </c>
      <c r="G171" s="272">
        <v>245</v>
      </c>
      <c r="H171" s="130">
        <f t="shared" si="6"/>
        <v>245</v>
      </c>
      <c r="I171" s="275" t="s">
        <v>273</v>
      </c>
      <c r="J171" s="674">
        <v>43404</v>
      </c>
      <c r="K171" s="288"/>
    </row>
    <row r="172" spans="1:11" s="230" customFormat="1" ht="17.25" customHeight="1" x14ac:dyDescent="0.25">
      <c r="A172" s="274" t="s">
        <v>7</v>
      </c>
      <c r="B172" s="271" t="s">
        <v>13</v>
      </c>
      <c r="C172" s="275" t="s">
        <v>41</v>
      </c>
      <c r="D172" s="323" t="str">
        <f ca="1">IFERROR(OFFSET(Camp_List[P_Code],MATCH(Data_Demography_t[[#This Row],[Camp]],Camp_List[Camp Name],0)-1,0,1,1),"")</f>
        <v>MMR012CMP019</v>
      </c>
      <c r="E172" s="389" t="s">
        <v>1038</v>
      </c>
      <c r="F172" s="275" t="s">
        <v>676</v>
      </c>
      <c r="G172" s="272">
        <v>220</v>
      </c>
      <c r="H172" s="130">
        <f t="shared" si="6"/>
        <v>-220</v>
      </c>
      <c r="I172" s="275" t="s">
        <v>273</v>
      </c>
      <c r="J172" s="674">
        <v>43373</v>
      </c>
      <c r="K172" s="288"/>
    </row>
    <row r="173" spans="1:11" s="230" customFormat="1" ht="15" customHeight="1" x14ac:dyDescent="0.25">
      <c r="A173" s="274" t="s">
        <v>7</v>
      </c>
      <c r="B173" s="271" t="s">
        <v>13</v>
      </c>
      <c r="C173" s="275" t="s">
        <v>41</v>
      </c>
      <c r="D173" s="323" t="str">
        <f ca="1">IFERROR(OFFSET(Camp_List[P_Code],MATCH(Data_Demography_t[[#This Row],[Camp]],Camp_List[Camp Name],0)-1,0,1,1),"")</f>
        <v>MMR012CMP019</v>
      </c>
      <c r="E173" s="389" t="s">
        <v>1038</v>
      </c>
      <c r="F173" s="311" t="s">
        <v>677</v>
      </c>
      <c r="G173" s="272">
        <v>191</v>
      </c>
      <c r="H173" s="130">
        <f t="shared" si="6"/>
        <v>191</v>
      </c>
      <c r="I173" s="275" t="s">
        <v>273</v>
      </c>
      <c r="J173" s="674">
        <v>43373</v>
      </c>
      <c r="K173" s="288"/>
    </row>
    <row r="174" spans="1:11" ht="15" customHeight="1" x14ac:dyDescent="0.25">
      <c r="A174" s="274" t="s">
        <v>7</v>
      </c>
      <c r="B174" s="271" t="s">
        <v>13</v>
      </c>
      <c r="C174" s="275" t="s">
        <v>41</v>
      </c>
      <c r="D174" s="323" t="str">
        <f ca="1">IFERROR(OFFSET(Camp_List[P_Code],MATCH(Data_Demography_t[[#This Row],[Camp]],Camp_List[Camp Name],0)-1,0,1,1),"")</f>
        <v>MMR012CMP019</v>
      </c>
      <c r="E174" s="389" t="s">
        <v>828</v>
      </c>
      <c r="F174" s="275" t="s">
        <v>676</v>
      </c>
      <c r="G174" s="272">
        <v>194</v>
      </c>
      <c r="H174" s="130">
        <f t="shared" si="6"/>
        <v>-194</v>
      </c>
      <c r="I174" s="275" t="s">
        <v>273</v>
      </c>
      <c r="J174" s="674">
        <v>43373</v>
      </c>
    </row>
    <row r="175" spans="1:11" ht="15" customHeight="1" x14ac:dyDescent="0.25">
      <c r="A175" s="274" t="s">
        <v>7</v>
      </c>
      <c r="B175" s="271" t="s">
        <v>13</v>
      </c>
      <c r="C175" s="275" t="s">
        <v>41</v>
      </c>
      <c r="D175" s="323" t="str">
        <f ca="1">IFERROR(OFFSET(Camp_List[P_Code],MATCH(Data_Demography_t[[#This Row],[Camp]],Camp_List[Camp Name],0)-1,0,1,1),"")</f>
        <v>MMR012CMP019</v>
      </c>
      <c r="E175" s="389" t="s">
        <v>828</v>
      </c>
      <c r="F175" s="311" t="s">
        <v>677</v>
      </c>
      <c r="G175" s="272">
        <v>169</v>
      </c>
      <c r="H175" s="130">
        <f t="shared" si="6"/>
        <v>169</v>
      </c>
      <c r="I175" s="275" t="s">
        <v>273</v>
      </c>
      <c r="J175" s="674">
        <v>43373</v>
      </c>
    </row>
    <row r="176" spans="1:11" ht="15" customHeight="1" x14ac:dyDescent="0.25">
      <c r="A176" s="274" t="s">
        <v>7</v>
      </c>
      <c r="B176" s="271" t="s">
        <v>13</v>
      </c>
      <c r="C176" s="275" t="s">
        <v>41</v>
      </c>
      <c r="D176" s="323" t="str">
        <f ca="1">IFERROR(OFFSET(Camp_List[P_Code],MATCH(Data_Demography_t[[#This Row],[Camp]],Camp_List[Camp Name],0)-1,0,1,1),"")</f>
        <v>MMR012CMP019</v>
      </c>
      <c r="E176" s="273" t="s">
        <v>607</v>
      </c>
      <c r="F176" s="275" t="s">
        <v>676</v>
      </c>
      <c r="G176" s="272">
        <v>217</v>
      </c>
      <c r="H176" s="130">
        <f t="shared" si="6"/>
        <v>-217</v>
      </c>
      <c r="I176" s="275" t="s">
        <v>273</v>
      </c>
      <c r="J176" s="674">
        <v>43373</v>
      </c>
    </row>
    <row r="177" spans="1:11" ht="15" customHeight="1" x14ac:dyDescent="0.25">
      <c r="A177" s="274" t="s">
        <v>7</v>
      </c>
      <c r="B177" s="271" t="s">
        <v>13</v>
      </c>
      <c r="C177" s="275" t="s">
        <v>41</v>
      </c>
      <c r="D177" s="323" t="str">
        <f ca="1">IFERROR(OFFSET(Camp_List[P_Code],MATCH(Data_Demography_t[[#This Row],[Camp]],Camp_List[Camp Name],0)-1,0,1,1),"")</f>
        <v>MMR012CMP019</v>
      </c>
      <c r="E177" s="273" t="s">
        <v>607</v>
      </c>
      <c r="F177" s="311" t="s">
        <v>677</v>
      </c>
      <c r="G177" s="272">
        <v>196</v>
      </c>
      <c r="H177" s="130">
        <f t="shared" si="6"/>
        <v>196</v>
      </c>
      <c r="I177" s="275" t="s">
        <v>273</v>
      </c>
      <c r="J177" s="674">
        <v>43373</v>
      </c>
    </row>
    <row r="178" spans="1:11" ht="15" customHeight="1" x14ac:dyDescent="0.25">
      <c r="A178" s="274" t="s">
        <v>7</v>
      </c>
      <c r="B178" s="271" t="s">
        <v>13</v>
      </c>
      <c r="C178" s="275" t="s">
        <v>41</v>
      </c>
      <c r="D178" s="323" t="str">
        <f ca="1">IFERROR(OFFSET(Camp_List[P_Code],MATCH(Data_Demography_t[[#This Row],[Camp]],Camp_List[Camp Name],0)-1,0,1,1),"")</f>
        <v>MMR012CMP019</v>
      </c>
      <c r="E178" s="276" t="s">
        <v>829</v>
      </c>
      <c r="F178" s="275" t="s">
        <v>676</v>
      </c>
      <c r="G178" s="272">
        <v>304</v>
      </c>
      <c r="H178" s="130">
        <f t="shared" si="6"/>
        <v>-304</v>
      </c>
      <c r="I178" s="275" t="s">
        <v>273</v>
      </c>
      <c r="J178" s="674">
        <v>43373</v>
      </c>
    </row>
    <row r="179" spans="1:11" ht="15" customHeight="1" x14ac:dyDescent="0.25">
      <c r="A179" s="274" t="s">
        <v>7</v>
      </c>
      <c r="B179" s="271" t="s">
        <v>13</v>
      </c>
      <c r="C179" s="275" t="s">
        <v>41</v>
      </c>
      <c r="D179" s="323" t="str">
        <f ca="1">IFERROR(OFFSET(Camp_List[P_Code],MATCH(Data_Demography_t[[#This Row],[Camp]],Camp_List[Camp Name],0)-1,0,1,1),"")</f>
        <v>MMR012CMP019</v>
      </c>
      <c r="E179" s="276" t="s">
        <v>829</v>
      </c>
      <c r="F179" s="311" t="s">
        <v>677</v>
      </c>
      <c r="G179" s="272">
        <v>325</v>
      </c>
      <c r="H179" s="130">
        <f t="shared" si="6"/>
        <v>325</v>
      </c>
      <c r="I179" s="275" t="s">
        <v>273</v>
      </c>
      <c r="J179" s="674">
        <v>43373</v>
      </c>
    </row>
    <row r="180" spans="1:11" s="645" customFormat="1" ht="15" customHeight="1" x14ac:dyDescent="0.25">
      <c r="A180" s="274" t="s">
        <v>7</v>
      </c>
      <c r="B180" s="271" t="s">
        <v>13</v>
      </c>
      <c r="C180" s="275" t="s">
        <v>41</v>
      </c>
      <c r="D180" s="323" t="str">
        <f ca="1">IFERROR(OFFSET(Camp_List[P_Code],MATCH(Data_Demography_t[[#This Row],[Camp]],Camp_List[Camp Name],0)-1,0,1,1),"")</f>
        <v>MMR012CMP019</v>
      </c>
      <c r="E180" s="276" t="s">
        <v>830</v>
      </c>
      <c r="F180" s="275" t="s">
        <v>676</v>
      </c>
      <c r="G180" s="272">
        <v>409</v>
      </c>
      <c r="H180" s="130">
        <f t="shared" si="6"/>
        <v>-409</v>
      </c>
      <c r="I180" s="275" t="s">
        <v>273</v>
      </c>
      <c r="J180" s="674">
        <v>43373</v>
      </c>
      <c r="K180" s="268"/>
    </row>
    <row r="181" spans="1:11" s="645" customFormat="1" ht="15" customHeight="1" x14ac:dyDescent="0.25">
      <c r="A181" s="274" t="s">
        <v>7</v>
      </c>
      <c r="B181" s="271" t="s">
        <v>13</v>
      </c>
      <c r="C181" s="275" t="s">
        <v>41</v>
      </c>
      <c r="D181" s="323" t="str">
        <f ca="1">IFERROR(OFFSET(Camp_List[P_Code],MATCH(Data_Demography_t[[#This Row],[Camp]],Camp_List[Camp Name],0)-1,0,1,1),"")</f>
        <v>MMR012CMP019</v>
      </c>
      <c r="E181" s="276" t="s">
        <v>830</v>
      </c>
      <c r="F181" s="311" t="s">
        <v>677</v>
      </c>
      <c r="G181" s="272">
        <v>443</v>
      </c>
      <c r="H181" s="130">
        <f t="shared" si="6"/>
        <v>443</v>
      </c>
      <c r="I181" s="275" t="s">
        <v>273</v>
      </c>
      <c r="J181" s="674">
        <v>43373</v>
      </c>
      <c r="K181" s="268"/>
    </row>
    <row r="182" spans="1:11" s="645" customFormat="1" ht="15" customHeight="1" x14ac:dyDescent="0.25">
      <c r="A182" s="274" t="s">
        <v>7</v>
      </c>
      <c r="B182" s="271" t="s">
        <v>13</v>
      </c>
      <c r="C182" s="275" t="s">
        <v>41</v>
      </c>
      <c r="D182" s="323" t="str">
        <f ca="1">IFERROR(OFFSET(Camp_List[P_Code],MATCH(Data_Demography_t[[#This Row],[Camp]],Camp_List[Camp Name],0)-1,0,1,1),"")</f>
        <v>MMR012CMP019</v>
      </c>
      <c r="E182" s="276" t="s">
        <v>806</v>
      </c>
      <c r="F182" s="277" t="s">
        <v>676</v>
      </c>
      <c r="G182" s="272">
        <v>88</v>
      </c>
      <c r="H182" s="130">
        <f t="shared" si="6"/>
        <v>-88</v>
      </c>
      <c r="I182" s="275" t="s">
        <v>273</v>
      </c>
      <c r="J182" s="674">
        <v>43373</v>
      </c>
      <c r="K182" s="268"/>
    </row>
    <row r="183" spans="1:11" s="645" customFormat="1" ht="15" customHeight="1" x14ac:dyDescent="0.25">
      <c r="A183" s="274" t="s">
        <v>7</v>
      </c>
      <c r="B183" s="271" t="s">
        <v>13</v>
      </c>
      <c r="C183" s="275" t="s">
        <v>41</v>
      </c>
      <c r="D183" s="323" t="str">
        <f ca="1">IFERROR(OFFSET(Camp_List[P_Code],MATCH(Data_Demography_t[[#This Row],[Camp]],Camp_List[Camp Name],0)-1,0,1,1),"")</f>
        <v>MMR012CMP019</v>
      </c>
      <c r="E183" s="276" t="s">
        <v>806</v>
      </c>
      <c r="F183" s="277" t="s">
        <v>677</v>
      </c>
      <c r="G183" s="272">
        <v>89</v>
      </c>
      <c r="H183" s="130">
        <f t="shared" si="6"/>
        <v>89</v>
      </c>
      <c r="I183" s="275" t="s">
        <v>273</v>
      </c>
      <c r="J183" s="674">
        <v>43373</v>
      </c>
      <c r="K183" s="268"/>
    </row>
    <row r="184" spans="1:11" ht="15" customHeight="1" x14ac:dyDescent="0.25">
      <c r="A184" s="274" t="s">
        <v>7</v>
      </c>
      <c r="B184" s="302" t="s">
        <v>814</v>
      </c>
      <c r="C184" s="311" t="s">
        <v>36</v>
      </c>
      <c r="D184" s="323" t="str">
        <f ca="1">IFERROR(OFFSET(Camp_List[P_Code],MATCH(Data_Demography_t[[#This Row],[Camp]],Camp_List[Camp Name],0)-1,0,1,1),"")</f>
        <v>MMR012CMP014</v>
      </c>
      <c r="E184" s="389" t="s">
        <v>1038</v>
      </c>
      <c r="F184" s="275" t="s">
        <v>676</v>
      </c>
      <c r="G184">
        <v>194</v>
      </c>
      <c r="H184" s="130">
        <f t="shared" si="6"/>
        <v>-194</v>
      </c>
      <c r="I184" s="320" t="s">
        <v>658</v>
      </c>
      <c r="J184" s="674">
        <v>43373</v>
      </c>
    </row>
    <row r="185" spans="1:11" ht="15" customHeight="1" x14ac:dyDescent="0.25">
      <c r="A185" s="274" t="s">
        <v>7</v>
      </c>
      <c r="B185" s="302" t="s">
        <v>814</v>
      </c>
      <c r="C185" s="311" t="s">
        <v>36</v>
      </c>
      <c r="D185" s="323" t="str">
        <f ca="1">IFERROR(OFFSET(Camp_List[P_Code],MATCH(Data_Demography_t[[#This Row],[Camp]],Camp_List[Camp Name],0)-1,0,1,1),"")</f>
        <v>MMR012CMP014</v>
      </c>
      <c r="E185" s="389" t="s">
        <v>1038</v>
      </c>
      <c r="F185" s="311" t="s">
        <v>677</v>
      </c>
      <c r="G185" s="721">
        <v>187</v>
      </c>
      <c r="H185" s="130">
        <f t="shared" si="6"/>
        <v>187</v>
      </c>
      <c r="I185" s="320" t="s">
        <v>658</v>
      </c>
      <c r="J185" s="674">
        <v>43373</v>
      </c>
    </row>
    <row r="186" spans="1:11" ht="15" customHeight="1" x14ac:dyDescent="0.25">
      <c r="A186" s="274" t="s">
        <v>7</v>
      </c>
      <c r="B186" s="302" t="s">
        <v>814</v>
      </c>
      <c r="C186" s="311" t="s">
        <v>36</v>
      </c>
      <c r="D186" s="323" t="str">
        <f ca="1">IFERROR(OFFSET(Camp_List[P_Code],MATCH(Data_Demography_t[[#This Row],[Camp]],Camp_List[Camp Name],0)-1,0,1,1),"")</f>
        <v>MMR012CMP014</v>
      </c>
      <c r="E186" s="389" t="s">
        <v>828</v>
      </c>
      <c r="F186" s="275" t="s">
        <v>676</v>
      </c>
      <c r="G186" s="322">
        <v>262</v>
      </c>
      <c r="H186" s="130">
        <f t="shared" si="6"/>
        <v>-262</v>
      </c>
      <c r="I186" s="320" t="s">
        <v>658</v>
      </c>
      <c r="J186" s="674">
        <v>43373</v>
      </c>
    </row>
    <row r="187" spans="1:11" ht="15" customHeight="1" x14ac:dyDescent="0.25">
      <c r="A187" s="274" t="s">
        <v>7</v>
      </c>
      <c r="B187" s="302" t="s">
        <v>814</v>
      </c>
      <c r="C187" s="311" t="s">
        <v>36</v>
      </c>
      <c r="D187" s="323" t="str">
        <f ca="1">IFERROR(OFFSET(Camp_List[P_Code],MATCH(Data_Demography_t[[#This Row],[Camp]],Camp_List[Camp Name],0)-1,0,1,1),"")</f>
        <v>MMR012CMP014</v>
      </c>
      <c r="E187" s="389" t="s">
        <v>828</v>
      </c>
      <c r="F187" s="311" t="s">
        <v>677</v>
      </c>
      <c r="G187" s="322">
        <v>221</v>
      </c>
      <c r="H187" s="130">
        <f t="shared" si="6"/>
        <v>221</v>
      </c>
      <c r="I187" s="320" t="s">
        <v>658</v>
      </c>
      <c r="J187" s="674">
        <v>43373</v>
      </c>
    </row>
    <row r="188" spans="1:11" ht="15" customHeight="1" x14ac:dyDescent="0.25">
      <c r="A188" s="274" t="s">
        <v>7</v>
      </c>
      <c r="B188" s="302" t="s">
        <v>814</v>
      </c>
      <c r="C188" s="311" t="s">
        <v>36</v>
      </c>
      <c r="D188" s="323" t="str">
        <f ca="1">IFERROR(OFFSET(Camp_List[P_Code],MATCH(Data_Demography_t[[#This Row],[Camp]],Camp_List[Camp Name],0)-1,0,1,1),"")</f>
        <v>MMR012CMP014</v>
      </c>
      <c r="E188" s="273" t="s">
        <v>607</v>
      </c>
      <c r="F188" s="275" t="s">
        <v>676</v>
      </c>
      <c r="G188" s="322">
        <v>226</v>
      </c>
      <c r="H188" s="130">
        <f t="shared" si="6"/>
        <v>-226</v>
      </c>
      <c r="I188" s="320" t="s">
        <v>658</v>
      </c>
      <c r="J188" s="674">
        <v>43373</v>
      </c>
    </row>
    <row r="189" spans="1:11" ht="15" customHeight="1" x14ac:dyDescent="0.25">
      <c r="A189" s="274" t="s">
        <v>7</v>
      </c>
      <c r="B189" s="302" t="s">
        <v>814</v>
      </c>
      <c r="C189" s="311" t="s">
        <v>36</v>
      </c>
      <c r="D189" s="323" t="str">
        <f ca="1">IFERROR(OFFSET(Camp_List[P_Code],MATCH(Data_Demography_t[[#This Row],[Camp]],Camp_List[Camp Name],0)-1,0,1,1),"")</f>
        <v>MMR012CMP014</v>
      </c>
      <c r="E189" s="273" t="s">
        <v>607</v>
      </c>
      <c r="F189" s="311" t="s">
        <v>677</v>
      </c>
      <c r="G189" s="322">
        <v>244</v>
      </c>
      <c r="H189" s="130">
        <f t="shared" si="6"/>
        <v>244</v>
      </c>
      <c r="I189" s="320" t="s">
        <v>658</v>
      </c>
      <c r="J189" s="674">
        <v>43373</v>
      </c>
    </row>
    <row r="190" spans="1:11" ht="15" customHeight="1" x14ac:dyDescent="0.25">
      <c r="A190" s="274" t="s">
        <v>7</v>
      </c>
      <c r="B190" s="302" t="s">
        <v>814</v>
      </c>
      <c r="C190" s="311" t="s">
        <v>36</v>
      </c>
      <c r="D190" s="323" t="str">
        <f ca="1">IFERROR(OFFSET(Camp_List[P_Code],MATCH(Data_Demography_t[[#This Row],[Camp]],Camp_List[Camp Name],0)-1,0,1,1),"")</f>
        <v>MMR012CMP014</v>
      </c>
      <c r="E190" s="276" t="s">
        <v>829</v>
      </c>
      <c r="F190" s="275" t="s">
        <v>676</v>
      </c>
      <c r="G190" s="322">
        <v>188</v>
      </c>
      <c r="H190" s="130">
        <f t="shared" si="6"/>
        <v>-188</v>
      </c>
      <c r="I190" s="320" t="s">
        <v>658</v>
      </c>
      <c r="J190" s="674">
        <v>43373</v>
      </c>
    </row>
    <row r="191" spans="1:11" ht="15" customHeight="1" x14ac:dyDescent="0.25">
      <c r="A191" s="274" t="s">
        <v>7</v>
      </c>
      <c r="B191" s="302" t="s">
        <v>814</v>
      </c>
      <c r="C191" s="311" t="s">
        <v>36</v>
      </c>
      <c r="D191" s="323" t="str">
        <f ca="1">IFERROR(OFFSET(Camp_List[P_Code],MATCH(Data_Demography_t[[#This Row],[Camp]],Camp_List[Camp Name],0)-1,0,1,1),"")</f>
        <v>MMR012CMP014</v>
      </c>
      <c r="E191" s="276" t="s">
        <v>829</v>
      </c>
      <c r="F191" s="311" t="s">
        <v>677</v>
      </c>
      <c r="G191" s="272">
        <v>225</v>
      </c>
      <c r="H191" s="130">
        <f t="shared" si="6"/>
        <v>225</v>
      </c>
      <c r="I191" s="320" t="s">
        <v>658</v>
      </c>
      <c r="J191" s="674">
        <v>43373</v>
      </c>
    </row>
    <row r="192" spans="1:11" ht="15" customHeight="1" x14ac:dyDescent="0.25">
      <c r="A192" s="274" t="s">
        <v>7</v>
      </c>
      <c r="B192" s="302" t="s">
        <v>814</v>
      </c>
      <c r="C192" s="311" t="s">
        <v>36</v>
      </c>
      <c r="D192" s="323" t="str">
        <f ca="1">IFERROR(OFFSET(Camp_List[P_Code],MATCH(Data_Demography_t[[#This Row],[Camp]],Camp_List[Camp Name],0)-1,0,1,1),"")</f>
        <v>MMR012CMP014</v>
      </c>
      <c r="E192" s="276" t="s">
        <v>830</v>
      </c>
      <c r="F192" s="275" t="s">
        <v>676</v>
      </c>
      <c r="G192" s="272">
        <v>350</v>
      </c>
      <c r="H192" s="130">
        <f t="shared" si="6"/>
        <v>-350</v>
      </c>
      <c r="I192" s="320" t="s">
        <v>658</v>
      </c>
      <c r="J192" s="674">
        <v>43373</v>
      </c>
    </row>
    <row r="193" spans="1:11" ht="15" customHeight="1" x14ac:dyDescent="0.25">
      <c r="A193" s="274" t="s">
        <v>7</v>
      </c>
      <c r="B193" s="302" t="s">
        <v>814</v>
      </c>
      <c r="C193" s="311" t="s">
        <v>36</v>
      </c>
      <c r="D193" s="323" t="str">
        <f ca="1">IFERROR(OFFSET(Camp_List[P_Code],MATCH(Data_Demography_t[[#This Row],[Camp]],Camp_List[Camp Name],0)-1,0,1,1),"")</f>
        <v>MMR012CMP014</v>
      </c>
      <c r="E193" s="276" t="s">
        <v>830</v>
      </c>
      <c r="F193" s="311" t="s">
        <v>677</v>
      </c>
      <c r="G193" s="322">
        <v>438</v>
      </c>
      <c r="H193" s="130">
        <f t="shared" si="6"/>
        <v>438</v>
      </c>
      <c r="I193" s="320" t="s">
        <v>658</v>
      </c>
      <c r="J193" s="674">
        <v>43373</v>
      </c>
    </row>
    <row r="194" spans="1:11" ht="15" customHeight="1" x14ac:dyDescent="0.25">
      <c r="A194" s="274" t="s">
        <v>7</v>
      </c>
      <c r="B194" s="271" t="s">
        <v>814</v>
      </c>
      <c r="C194" s="275" t="s">
        <v>36</v>
      </c>
      <c r="D194" s="323" t="str">
        <f ca="1">IFERROR(OFFSET(Camp_List[P_Code],MATCH(Data_Demography_t[[#This Row],[Camp]],Camp_List[Camp Name],0)-1,0,1,1),"")</f>
        <v>MMR012CMP014</v>
      </c>
      <c r="E194" s="276" t="s">
        <v>806</v>
      </c>
      <c r="F194" s="277" t="s">
        <v>676</v>
      </c>
      <c r="G194" s="272">
        <v>74</v>
      </c>
      <c r="H194" s="130">
        <f t="shared" si="6"/>
        <v>-74</v>
      </c>
      <c r="I194" s="275" t="s">
        <v>658</v>
      </c>
      <c r="J194" s="674">
        <v>43373</v>
      </c>
    </row>
    <row r="195" spans="1:11" ht="15" customHeight="1" x14ac:dyDescent="0.25">
      <c r="A195" s="274" t="s">
        <v>7</v>
      </c>
      <c r="B195" s="271" t="s">
        <v>814</v>
      </c>
      <c r="C195" s="275" t="s">
        <v>36</v>
      </c>
      <c r="D195" s="323" t="str">
        <f ca="1">IFERROR(OFFSET(Camp_List[P_Code],MATCH(Data_Demography_t[[#This Row],[Camp]],Camp_List[Camp Name],0)-1,0,1,1),"")</f>
        <v>MMR012CMP014</v>
      </c>
      <c r="E195" s="276" t="s">
        <v>806</v>
      </c>
      <c r="F195" s="277" t="s">
        <v>677</v>
      </c>
      <c r="G195" s="272">
        <v>81</v>
      </c>
      <c r="H195" s="130">
        <f t="shared" si="6"/>
        <v>81</v>
      </c>
      <c r="I195" s="275" t="s">
        <v>658</v>
      </c>
      <c r="J195" s="674">
        <v>43373</v>
      </c>
    </row>
    <row r="196" spans="1:11" s="645" customFormat="1" x14ac:dyDescent="0.25">
      <c r="A196" s="274" t="s">
        <v>7</v>
      </c>
      <c r="B196" s="271" t="s">
        <v>17</v>
      </c>
      <c r="C196" s="275" t="s">
        <v>66</v>
      </c>
      <c r="D196" s="323" t="str">
        <f ca="1">IFERROR(OFFSET(Camp_List[P_Code],MATCH(Data_Demography_t[[#This Row],[Camp]],Camp_List[Camp Name],0)-1,0,1,1),"")</f>
        <v>MMR012CMP046</v>
      </c>
      <c r="E196" s="389" t="s">
        <v>1038</v>
      </c>
      <c r="F196" s="275" t="s">
        <v>676</v>
      </c>
      <c r="G196" s="272">
        <v>1003</v>
      </c>
      <c r="H196" s="130">
        <f t="shared" si="6"/>
        <v>-1003</v>
      </c>
      <c r="I196" s="275" t="s">
        <v>575</v>
      </c>
      <c r="J196" s="674">
        <v>43373</v>
      </c>
      <c r="K196" s="268"/>
    </row>
    <row r="197" spans="1:11" s="645" customFormat="1" x14ac:dyDescent="0.25">
      <c r="A197" s="274" t="s">
        <v>7</v>
      </c>
      <c r="B197" s="271" t="s">
        <v>17</v>
      </c>
      <c r="C197" s="275" t="s">
        <v>66</v>
      </c>
      <c r="D197" s="323" t="str">
        <f ca="1">IFERROR(OFFSET(Camp_List[P_Code],MATCH(Data_Demography_t[[#This Row],[Camp]],Camp_List[Camp Name],0)-1,0,1,1),"")</f>
        <v>MMR012CMP046</v>
      </c>
      <c r="E197" s="389" t="s">
        <v>1038</v>
      </c>
      <c r="F197" s="311" t="s">
        <v>677</v>
      </c>
      <c r="G197" s="272">
        <v>1106</v>
      </c>
      <c r="H197" s="130">
        <f t="shared" si="6"/>
        <v>1106</v>
      </c>
      <c r="I197" s="275" t="s">
        <v>575</v>
      </c>
      <c r="J197" s="674">
        <v>43373</v>
      </c>
      <c r="K197" s="268"/>
    </row>
    <row r="198" spans="1:11" x14ac:dyDescent="0.25">
      <c r="A198" s="274" t="s">
        <v>7</v>
      </c>
      <c r="B198" s="271" t="s">
        <v>17</v>
      </c>
      <c r="C198" s="275" t="s">
        <v>66</v>
      </c>
      <c r="D198" s="323" t="str">
        <f ca="1">IFERROR(OFFSET(Camp_List[P_Code],MATCH(Data_Demography_t[[#This Row],[Camp]],Camp_List[Camp Name],0)-1,0,1,1),"")</f>
        <v>MMR012CMP046</v>
      </c>
      <c r="E198" s="389" t="s">
        <v>828</v>
      </c>
      <c r="F198" s="275" t="s">
        <v>676</v>
      </c>
      <c r="G198" s="272">
        <v>1070</v>
      </c>
      <c r="H198" s="130">
        <f t="shared" si="6"/>
        <v>-1070</v>
      </c>
      <c r="I198" s="275" t="s">
        <v>575</v>
      </c>
      <c r="J198" s="674">
        <v>43373</v>
      </c>
    </row>
    <row r="199" spans="1:11" x14ac:dyDescent="0.25">
      <c r="A199" s="274" t="s">
        <v>7</v>
      </c>
      <c r="B199" s="271" t="s">
        <v>17</v>
      </c>
      <c r="C199" s="275" t="s">
        <v>66</v>
      </c>
      <c r="D199" s="323" t="str">
        <f ca="1">IFERROR(OFFSET(Camp_List[P_Code],MATCH(Data_Demography_t[[#This Row],[Camp]],Camp_List[Camp Name],0)-1,0,1,1),"")</f>
        <v>MMR012CMP046</v>
      </c>
      <c r="E199" s="389" t="s">
        <v>828</v>
      </c>
      <c r="F199" s="311" t="s">
        <v>677</v>
      </c>
      <c r="G199" s="272">
        <v>1104</v>
      </c>
      <c r="H199" s="130">
        <f t="shared" si="6"/>
        <v>1104</v>
      </c>
      <c r="I199" s="275" t="s">
        <v>575</v>
      </c>
      <c r="J199" s="674">
        <v>43373</v>
      </c>
    </row>
    <row r="200" spans="1:11" x14ac:dyDescent="0.25">
      <c r="A200" s="274" t="s">
        <v>7</v>
      </c>
      <c r="B200" s="271" t="s">
        <v>17</v>
      </c>
      <c r="C200" s="275" t="s">
        <v>66</v>
      </c>
      <c r="D200" s="323" t="str">
        <f ca="1">IFERROR(OFFSET(Camp_List[P_Code],MATCH(Data_Demography_t[[#This Row],[Camp]],Camp_List[Camp Name],0)-1,0,1,1),"")</f>
        <v>MMR012CMP046</v>
      </c>
      <c r="E200" s="273" t="s">
        <v>607</v>
      </c>
      <c r="F200" s="275" t="s">
        <v>676</v>
      </c>
      <c r="G200" s="272">
        <v>1043</v>
      </c>
      <c r="H200" s="130">
        <f t="shared" si="6"/>
        <v>-1043</v>
      </c>
      <c r="I200" s="275" t="s">
        <v>575</v>
      </c>
      <c r="J200" s="674">
        <v>43373</v>
      </c>
    </row>
    <row r="201" spans="1:11" x14ac:dyDescent="0.25">
      <c r="A201" s="274" t="s">
        <v>7</v>
      </c>
      <c r="B201" s="271" t="s">
        <v>17</v>
      </c>
      <c r="C201" s="275" t="s">
        <v>66</v>
      </c>
      <c r="D201" s="323" t="str">
        <f ca="1">IFERROR(OFFSET(Camp_List[P_Code],MATCH(Data_Demography_t[[#This Row],[Camp]],Camp_List[Camp Name],0)-1,0,1,1),"")</f>
        <v>MMR012CMP046</v>
      </c>
      <c r="E201" s="273" t="s">
        <v>607</v>
      </c>
      <c r="F201" s="311" t="s">
        <v>677</v>
      </c>
      <c r="G201" s="272">
        <v>1024</v>
      </c>
      <c r="H201" s="130">
        <f t="shared" si="6"/>
        <v>1024</v>
      </c>
      <c r="I201" s="275" t="s">
        <v>575</v>
      </c>
      <c r="J201" s="674">
        <v>43373</v>
      </c>
    </row>
    <row r="202" spans="1:11" x14ac:dyDescent="0.25">
      <c r="A202" s="274" t="s">
        <v>7</v>
      </c>
      <c r="B202" s="271" t="s">
        <v>17</v>
      </c>
      <c r="C202" s="275" t="s">
        <v>66</v>
      </c>
      <c r="D202" s="323" t="str">
        <f ca="1">IFERROR(OFFSET(Camp_List[P_Code],MATCH(Data_Demography_t[[#This Row],[Camp]],Camp_List[Camp Name],0)-1,0,1,1),"")</f>
        <v>MMR012CMP046</v>
      </c>
      <c r="E202" s="276" t="s">
        <v>829</v>
      </c>
      <c r="F202" s="275" t="s">
        <v>676</v>
      </c>
      <c r="G202" s="272">
        <v>1111</v>
      </c>
      <c r="H202" s="130">
        <f t="shared" si="6"/>
        <v>-1111</v>
      </c>
      <c r="I202" s="275" t="s">
        <v>575</v>
      </c>
      <c r="J202" s="674">
        <v>43373</v>
      </c>
    </row>
    <row r="203" spans="1:11" x14ac:dyDescent="0.25">
      <c r="A203" s="274" t="s">
        <v>7</v>
      </c>
      <c r="B203" s="271" t="s">
        <v>17</v>
      </c>
      <c r="C203" s="275" t="s">
        <v>66</v>
      </c>
      <c r="D203" s="323" t="str">
        <f ca="1">IFERROR(OFFSET(Camp_List[P_Code],MATCH(Data_Demography_t[[#This Row],[Camp]],Camp_List[Camp Name],0)-1,0,1,1),"")</f>
        <v>MMR012CMP046</v>
      </c>
      <c r="E203" s="276" t="s">
        <v>829</v>
      </c>
      <c r="F203" s="311" t="s">
        <v>677</v>
      </c>
      <c r="G203" s="272">
        <v>1236</v>
      </c>
      <c r="H203" s="130">
        <f t="shared" si="6"/>
        <v>1236</v>
      </c>
      <c r="I203" s="275" t="s">
        <v>575</v>
      </c>
      <c r="J203" s="674">
        <v>43373</v>
      </c>
    </row>
    <row r="204" spans="1:11" x14ac:dyDescent="0.25">
      <c r="A204" s="274" t="s">
        <v>7</v>
      </c>
      <c r="B204" s="271" t="s">
        <v>17</v>
      </c>
      <c r="C204" s="275" t="s">
        <v>66</v>
      </c>
      <c r="D204" s="323" t="str">
        <f ca="1">IFERROR(OFFSET(Camp_List[P_Code],MATCH(Data_Demography_t[[#This Row],[Camp]],Camp_List[Camp Name],0)-1,0,1,1),"")</f>
        <v>MMR012CMP046</v>
      </c>
      <c r="E204" s="276" t="s">
        <v>830</v>
      </c>
      <c r="F204" s="275" t="s">
        <v>676</v>
      </c>
      <c r="G204" s="322">
        <v>1882</v>
      </c>
      <c r="H204" s="130">
        <f t="shared" si="6"/>
        <v>-1882</v>
      </c>
      <c r="I204" s="275" t="s">
        <v>575</v>
      </c>
      <c r="J204" s="674">
        <v>43373</v>
      </c>
    </row>
    <row r="205" spans="1:11" x14ac:dyDescent="0.25">
      <c r="A205" s="274" t="s">
        <v>7</v>
      </c>
      <c r="B205" s="271" t="s">
        <v>17</v>
      </c>
      <c r="C205" s="275" t="s">
        <v>66</v>
      </c>
      <c r="D205" s="323" t="str">
        <f ca="1">IFERROR(OFFSET(Camp_List[P_Code],MATCH(Data_Demography_t[[#This Row],[Camp]],Camp_List[Camp Name],0)-1,0,1,1),"")</f>
        <v>MMR012CMP046</v>
      </c>
      <c r="E205" s="276" t="s">
        <v>830</v>
      </c>
      <c r="F205" s="311" t="s">
        <v>677</v>
      </c>
      <c r="G205" s="322">
        <v>1975</v>
      </c>
      <c r="H205" s="130">
        <f t="shared" si="6"/>
        <v>1975</v>
      </c>
      <c r="I205" s="275" t="s">
        <v>575</v>
      </c>
      <c r="J205" s="674">
        <v>43373</v>
      </c>
    </row>
    <row r="206" spans="1:11" x14ac:dyDescent="0.25">
      <c r="A206" s="274" t="s">
        <v>7</v>
      </c>
      <c r="B206" s="302" t="s">
        <v>17</v>
      </c>
      <c r="C206" s="311" t="s">
        <v>66</v>
      </c>
      <c r="D206" s="323" t="str">
        <f ca="1">IFERROR(OFFSET(Camp_List[P_Code],MATCH(Data_Demography_t[[#This Row],[Camp]],Camp_List[Camp Name],0)-1,0,1,1),"")</f>
        <v>MMR012CMP046</v>
      </c>
      <c r="E206" s="276" t="s">
        <v>806</v>
      </c>
      <c r="F206" s="275" t="s">
        <v>676</v>
      </c>
      <c r="G206" s="322">
        <v>258</v>
      </c>
      <c r="H206" s="130">
        <f t="shared" si="6"/>
        <v>-258</v>
      </c>
      <c r="I206" s="320" t="s">
        <v>575</v>
      </c>
      <c r="J206" s="674">
        <v>43373</v>
      </c>
    </row>
    <row r="207" spans="1:11" x14ac:dyDescent="0.25">
      <c r="A207" s="274" t="s">
        <v>7</v>
      </c>
      <c r="B207" s="302" t="s">
        <v>17</v>
      </c>
      <c r="C207" s="311" t="s">
        <v>66</v>
      </c>
      <c r="D207" s="323" t="str">
        <f ca="1">IFERROR(OFFSET(Camp_List[P_Code],MATCH(Data_Demography_t[[#This Row],[Camp]],Camp_List[Camp Name],0)-1,0,1,1),"")</f>
        <v>MMR012CMP046</v>
      </c>
      <c r="E207" s="276" t="s">
        <v>806</v>
      </c>
      <c r="F207" s="311" t="s">
        <v>677</v>
      </c>
      <c r="G207" s="322">
        <v>260</v>
      </c>
      <c r="H207" s="130">
        <f t="shared" si="6"/>
        <v>260</v>
      </c>
      <c r="I207" s="320" t="s">
        <v>575</v>
      </c>
      <c r="J207" s="674">
        <v>43373</v>
      </c>
    </row>
    <row r="208" spans="1:11" ht="15" customHeight="1" x14ac:dyDescent="0.25">
      <c r="A208" s="274" t="s">
        <v>7</v>
      </c>
      <c r="B208" s="271" t="s">
        <v>17</v>
      </c>
      <c r="C208" s="275" t="s">
        <v>68</v>
      </c>
      <c r="D208" s="323" t="str">
        <f ca="1">IFERROR(OFFSET(Camp_List[P_Code],MATCH(Data_Demography_t[[#This Row],[Camp]],Camp_List[Camp Name],0)-1,0,1,1),"")</f>
        <v>MMR012CMP048</v>
      </c>
      <c r="E208" s="389" t="s">
        <v>1038</v>
      </c>
      <c r="F208" s="277" t="s">
        <v>676</v>
      </c>
      <c r="G208" s="272">
        <v>544</v>
      </c>
      <c r="H208" s="130">
        <f t="shared" si="6"/>
        <v>-544</v>
      </c>
      <c r="I208" s="275" t="s">
        <v>904</v>
      </c>
      <c r="J208" s="674">
        <v>43404</v>
      </c>
    </row>
    <row r="209" spans="1:11" ht="15" customHeight="1" x14ac:dyDescent="0.25">
      <c r="A209" s="274" t="s">
        <v>7</v>
      </c>
      <c r="B209" s="271" t="s">
        <v>17</v>
      </c>
      <c r="C209" s="275" t="s">
        <v>68</v>
      </c>
      <c r="D209" s="323" t="str">
        <f ca="1">IFERROR(OFFSET(Camp_List[P_Code],MATCH(Data_Demography_t[[#This Row],[Camp]],Camp_List[Camp Name],0)-1,0,1,1),"")</f>
        <v>MMR012CMP048</v>
      </c>
      <c r="E209" s="389" t="s">
        <v>1038</v>
      </c>
      <c r="F209" s="277" t="s">
        <v>677</v>
      </c>
      <c r="G209" s="272">
        <v>623</v>
      </c>
      <c r="H209" s="130">
        <f t="shared" si="6"/>
        <v>623</v>
      </c>
      <c r="I209" s="275" t="s">
        <v>904</v>
      </c>
      <c r="J209" s="674">
        <v>43404</v>
      </c>
    </row>
    <row r="210" spans="1:11" ht="15" customHeight="1" x14ac:dyDescent="0.25">
      <c r="A210" s="274" t="s">
        <v>7</v>
      </c>
      <c r="B210" s="271" t="s">
        <v>17</v>
      </c>
      <c r="C210" s="275" t="s">
        <v>68</v>
      </c>
      <c r="D210" s="323" t="str">
        <f ca="1">IFERROR(OFFSET(Camp_List[P_Code],MATCH(Data_Demography_t[[#This Row],[Camp]],Camp_List[Camp Name],0)-1,0,1,1),"")</f>
        <v>MMR012CMP048</v>
      </c>
      <c r="E210" s="389" t="s">
        <v>828</v>
      </c>
      <c r="F210" s="277" t="s">
        <v>676</v>
      </c>
      <c r="G210" s="272">
        <v>569</v>
      </c>
      <c r="H210" s="130">
        <f t="shared" si="6"/>
        <v>-569</v>
      </c>
      <c r="I210" s="275" t="s">
        <v>904</v>
      </c>
      <c r="J210" s="674">
        <v>43404</v>
      </c>
    </row>
    <row r="211" spans="1:11" ht="15" customHeight="1" x14ac:dyDescent="0.25">
      <c r="A211" s="274" t="s">
        <v>7</v>
      </c>
      <c r="B211" s="271" t="s">
        <v>17</v>
      </c>
      <c r="C211" s="275" t="s">
        <v>68</v>
      </c>
      <c r="D211" s="323" t="str">
        <f ca="1">IFERROR(OFFSET(Camp_List[P_Code],MATCH(Data_Demography_t[[#This Row],[Camp]],Camp_List[Camp Name],0)-1,0,1,1),"")</f>
        <v>MMR012CMP048</v>
      </c>
      <c r="E211" s="389" t="s">
        <v>828</v>
      </c>
      <c r="F211" s="277" t="s">
        <v>677</v>
      </c>
      <c r="G211" s="272">
        <v>497</v>
      </c>
      <c r="H211" s="130">
        <f t="shared" si="6"/>
        <v>497</v>
      </c>
      <c r="I211" s="275" t="s">
        <v>904</v>
      </c>
      <c r="J211" s="674">
        <v>43404</v>
      </c>
    </row>
    <row r="212" spans="1:11" ht="15" customHeight="1" x14ac:dyDescent="0.25">
      <c r="A212" s="274" t="s">
        <v>7</v>
      </c>
      <c r="B212" s="271" t="s">
        <v>17</v>
      </c>
      <c r="C212" s="275" t="s">
        <v>68</v>
      </c>
      <c r="D212" s="323" t="str">
        <f ca="1">IFERROR(OFFSET(Camp_List[P_Code],MATCH(Data_Demography_t[[#This Row],[Camp]],Camp_List[Camp Name],0)-1,0,1,1),"")</f>
        <v>MMR012CMP048</v>
      </c>
      <c r="E212" s="276" t="s">
        <v>607</v>
      </c>
      <c r="F212" s="277" t="s">
        <v>676</v>
      </c>
      <c r="G212" s="272">
        <v>459</v>
      </c>
      <c r="H212" s="130">
        <f t="shared" si="6"/>
        <v>-459</v>
      </c>
      <c r="I212" s="275" t="s">
        <v>904</v>
      </c>
      <c r="J212" s="674">
        <v>43404</v>
      </c>
    </row>
    <row r="213" spans="1:11" ht="15" customHeight="1" x14ac:dyDescent="0.25">
      <c r="A213" s="274" t="s">
        <v>7</v>
      </c>
      <c r="B213" s="271" t="s">
        <v>17</v>
      </c>
      <c r="C213" s="275" t="s">
        <v>68</v>
      </c>
      <c r="D213" s="323" t="str">
        <f ca="1">IFERROR(OFFSET(Camp_List[P_Code],MATCH(Data_Demography_t[[#This Row],[Camp]],Camp_List[Camp Name],0)-1,0,1,1),"")</f>
        <v>MMR012CMP048</v>
      </c>
      <c r="E213" s="276" t="s">
        <v>607</v>
      </c>
      <c r="F213" s="277" t="s">
        <v>677</v>
      </c>
      <c r="G213" s="272">
        <v>451</v>
      </c>
      <c r="H213" s="130">
        <f t="shared" si="6"/>
        <v>451</v>
      </c>
      <c r="I213" s="275" t="s">
        <v>904</v>
      </c>
      <c r="J213" s="674">
        <v>43404</v>
      </c>
    </row>
    <row r="214" spans="1:11" ht="15" customHeight="1" x14ac:dyDescent="0.25">
      <c r="A214" s="274" t="s">
        <v>7</v>
      </c>
      <c r="B214" s="271" t="s">
        <v>17</v>
      </c>
      <c r="C214" s="275" t="s">
        <v>68</v>
      </c>
      <c r="D214" s="323" t="str">
        <f ca="1">IFERROR(OFFSET(Camp_List[P_Code],MATCH(Data_Demography_t[[#This Row],[Camp]],Camp_List[Camp Name],0)-1,0,1,1),"")</f>
        <v>MMR012CMP048</v>
      </c>
      <c r="E214" s="276" t="s">
        <v>829</v>
      </c>
      <c r="F214" s="277" t="s">
        <v>676</v>
      </c>
      <c r="G214" s="272">
        <v>469</v>
      </c>
      <c r="H214" s="130">
        <f t="shared" si="6"/>
        <v>-469</v>
      </c>
      <c r="I214" s="275" t="s">
        <v>904</v>
      </c>
      <c r="J214" s="674">
        <v>43404</v>
      </c>
    </row>
    <row r="215" spans="1:11" ht="15" customHeight="1" x14ac:dyDescent="0.25">
      <c r="A215" s="274" t="s">
        <v>7</v>
      </c>
      <c r="B215" s="271" t="s">
        <v>17</v>
      </c>
      <c r="C215" s="275" t="s">
        <v>68</v>
      </c>
      <c r="D215" s="323" t="str">
        <f ca="1">IFERROR(OFFSET(Camp_List[P_Code],MATCH(Data_Demography_t[[#This Row],[Camp]],Camp_List[Camp Name],0)-1,0,1,1),"")</f>
        <v>MMR012CMP048</v>
      </c>
      <c r="E215" s="276" t="s">
        <v>829</v>
      </c>
      <c r="F215" s="277" t="s">
        <v>677</v>
      </c>
      <c r="G215" s="272">
        <v>614</v>
      </c>
      <c r="H215" s="130">
        <f t="shared" si="6"/>
        <v>614</v>
      </c>
      <c r="I215" s="275" t="s">
        <v>904</v>
      </c>
      <c r="J215" s="674">
        <v>43404</v>
      </c>
    </row>
    <row r="216" spans="1:11" ht="15" customHeight="1" x14ac:dyDescent="0.25">
      <c r="A216" s="274" t="s">
        <v>7</v>
      </c>
      <c r="B216" s="271" t="s">
        <v>17</v>
      </c>
      <c r="C216" s="275" t="s">
        <v>68</v>
      </c>
      <c r="D216" s="323" t="str">
        <f ca="1">IFERROR(OFFSET(Camp_List[P_Code],MATCH(Data_Demography_t[[#This Row],[Camp]],Camp_List[Camp Name],0)-1,0,1,1),"")</f>
        <v>MMR012CMP048</v>
      </c>
      <c r="E216" s="276" t="s">
        <v>830</v>
      </c>
      <c r="F216" s="277" t="s">
        <v>676</v>
      </c>
      <c r="G216" s="272">
        <v>692</v>
      </c>
      <c r="H216" s="130">
        <f t="shared" si="6"/>
        <v>-692</v>
      </c>
      <c r="I216" s="275" t="s">
        <v>904</v>
      </c>
      <c r="J216" s="674">
        <v>43404</v>
      </c>
    </row>
    <row r="217" spans="1:11" ht="15" customHeight="1" x14ac:dyDescent="0.25">
      <c r="A217" s="274" t="s">
        <v>7</v>
      </c>
      <c r="B217" s="271" t="s">
        <v>17</v>
      </c>
      <c r="C217" s="275" t="s">
        <v>68</v>
      </c>
      <c r="D217" s="323" t="str">
        <f ca="1">IFERROR(OFFSET(Camp_List[P_Code],MATCH(Data_Demography_t[[#This Row],[Camp]],Camp_List[Camp Name],0)-1,0,1,1),"")</f>
        <v>MMR012CMP048</v>
      </c>
      <c r="E217" s="276" t="s">
        <v>830</v>
      </c>
      <c r="F217" s="277" t="s">
        <v>677</v>
      </c>
      <c r="G217" s="272">
        <v>771</v>
      </c>
      <c r="H217" s="130">
        <f t="shared" si="6"/>
        <v>771</v>
      </c>
      <c r="I217" s="275" t="s">
        <v>904</v>
      </c>
      <c r="J217" s="674">
        <v>43404</v>
      </c>
    </row>
    <row r="218" spans="1:11" ht="15" customHeight="1" x14ac:dyDescent="0.25">
      <c r="A218" s="274" t="s">
        <v>7</v>
      </c>
      <c r="B218" s="271" t="s">
        <v>17</v>
      </c>
      <c r="C218" s="275" t="s">
        <v>68</v>
      </c>
      <c r="D218" s="323" t="str">
        <f ca="1">IFERROR(OFFSET(Camp_List[P_Code],MATCH(Data_Demography_t[[#This Row],[Camp]],Camp_List[Camp Name],0)-1,0,1,1),"")</f>
        <v>MMR012CMP048</v>
      </c>
      <c r="E218" s="276" t="s">
        <v>806</v>
      </c>
      <c r="F218" s="275" t="s">
        <v>676</v>
      </c>
      <c r="G218" s="272">
        <v>111</v>
      </c>
      <c r="H218" s="130">
        <f t="shared" si="6"/>
        <v>-111</v>
      </c>
      <c r="I218" s="275" t="s">
        <v>904</v>
      </c>
      <c r="J218" s="674">
        <v>43404</v>
      </c>
    </row>
    <row r="219" spans="1:11" ht="15" customHeight="1" x14ac:dyDescent="0.25">
      <c r="A219" s="278" t="s">
        <v>7</v>
      </c>
      <c r="B219" s="308" t="s">
        <v>17</v>
      </c>
      <c r="C219" s="307" t="s">
        <v>68</v>
      </c>
      <c r="D219" s="323" t="str">
        <f ca="1">IFERROR(OFFSET(Camp_List[P_Code],MATCH(Data_Demography_t[[#This Row],[Camp]],Camp_List[Camp Name],0)-1,0,1,1),"")</f>
        <v>MMR012CMP048</v>
      </c>
      <c r="E219" s="280" t="s">
        <v>806</v>
      </c>
      <c r="F219" s="312" t="s">
        <v>677</v>
      </c>
      <c r="G219" s="279">
        <v>126</v>
      </c>
      <c r="H219" s="130">
        <f t="shared" si="6"/>
        <v>126</v>
      </c>
      <c r="I219" s="307" t="s">
        <v>904</v>
      </c>
      <c r="J219" s="674">
        <v>43404</v>
      </c>
    </row>
    <row r="220" spans="1:11" ht="15" customHeight="1" x14ac:dyDescent="0.25">
      <c r="A220" s="660" t="s">
        <v>7</v>
      </c>
      <c r="B220" s="661" t="s">
        <v>17</v>
      </c>
      <c r="C220" s="658" t="s">
        <v>59</v>
      </c>
      <c r="D220" s="323" t="str">
        <f ca="1">IFERROR(OFFSET(Camp_List[P_Code],MATCH(Data_Demography_t[[#This Row],[Camp]],Camp_List[Camp Name],0)-1,0,1,1),"")</f>
        <v>MMR012CMP039</v>
      </c>
      <c r="E220" s="389" t="s">
        <v>1038</v>
      </c>
      <c r="F220" s="665" t="s">
        <v>676</v>
      </c>
      <c r="G220" s="659">
        <v>254</v>
      </c>
      <c r="H220" s="130">
        <f t="shared" ref="H220:H231" si="7">IF(F220="M",-G220,G220)</f>
        <v>-254</v>
      </c>
      <c r="I220" s="662" t="s">
        <v>575</v>
      </c>
      <c r="J220" s="675">
        <v>43373</v>
      </c>
    </row>
    <row r="221" spans="1:11" ht="15" customHeight="1" x14ac:dyDescent="0.25">
      <c r="A221" s="660" t="s">
        <v>7</v>
      </c>
      <c r="B221" s="661" t="s">
        <v>17</v>
      </c>
      <c r="C221" s="658" t="s">
        <v>59</v>
      </c>
      <c r="D221" s="323" t="str">
        <f ca="1">IFERROR(OFFSET(Camp_List[P_Code],MATCH(Data_Demography_t[[#This Row],[Camp]],Camp_List[Camp Name],0)-1,0,1,1),"")</f>
        <v>MMR012CMP039</v>
      </c>
      <c r="E221" s="389" t="s">
        <v>1038</v>
      </c>
      <c r="F221" s="665" t="s">
        <v>677</v>
      </c>
      <c r="G221" s="659">
        <v>215</v>
      </c>
      <c r="H221" s="130">
        <f t="shared" si="7"/>
        <v>215</v>
      </c>
      <c r="I221" s="662" t="s">
        <v>575</v>
      </c>
      <c r="J221" s="675">
        <v>43373</v>
      </c>
    </row>
    <row r="222" spans="1:11" s="645" customFormat="1" ht="15" customHeight="1" x14ac:dyDescent="0.25">
      <c r="A222" s="660" t="s">
        <v>7</v>
      </c>
      <c r="B222" s="661" t="s">
        <v>17</v>
      </c>
      <c r="C222" s="662" t="s">
        <v>59</v>
      </c>
      <c r="D222" s="323" t="str">
        <f ca="1">IFERROR(OFFSET(Camp_List[P_Code],MATCH(Data_Demography_t[[#This Row],[Camp]],Camp_List[Camp Name],0)-1,0,1,1),"")</f>
        <v>MMR012CMP039</v>
      </c>
      <c r="E222" s="389" t="s">
        <v>828</v>
      </c>
      <c r="F222" s="665" t="s">
        <v>676</v>
      </c>
      <c r="G222" s="659">
        <v>196</v>
      </c>
      <c r="H222" s="130">
        <f t="shared" si="7"/>
        <v>-196</v>
      </c>
      <c r="I222" s="662" t="s">
        <v>575</v>
      </c>
      <c r="J222" s="675">
        <v>43373</v>
      </c>
      <c r="K222" s="268"/>
    </row>
    <row r="223" spans="1:11" s="645" customFormat="1" ht="15" customHeight="1" x14ac:dyDescent="0.25">
      <c r="A223" s="660" t="s">
        <v>7</v>
      </c>
      <c r="B223" s="661" t="s">
        <v>17</v>
      </c>
      <c r="C223" s="662" t="s">
        <v>59</v>
      </c>
      <c r="D223" s="323" t="str">
        <f ca="1">IFERROR(OFFSET(Camp_List[P_Code],MATCH(Data_Demography_t[[#This Row],[Camp]],Camp_List[Camp Name],0)-1,0,1,1),"")</f>
        <v>MMR012CMP039</v>
      </c>
      <c r="E223" s="389" t="s">
        <v>828</v>
      </c>
      <c r="F223" s="665" t="s">
        <v>677</v>
      </c>
      <c r="G223" s="659">
        <v>184</v>
      </c>
      <c r="H223" s="130">
        <f t="shared" si="7"/>
        <v>184</v>
      </c>
      <c r="I223" s="662" t="s">
        <v>575</v>
      </c>
      <c r="J223" s="675">
        <v>43373</v>
      </c>
      <c r="K223" s="268"/>
    </row>
    <row r="224" spans="1:11" s="645" customFormat="1" ht="15" customHeight="1" x14ac:dyDescent="0.25">
      <c r="A224" s="660" t="s">
        <v>7</v>
      </c>
      <c r="B224" s="661" t="s">
        <v>17</v>
      </c>
      <c r="C224" s="662" t="s">
        <v>59</v>
      </c>
      <c r="D224" s="323" t="str">
        <f ca="1">IFERROR(OFFSET(Camp_List[P_Code],MATCH(Data_Demography_t[[#This Row],[Camp]],Camp_List[Camp Name],0)-1,0,1,1),"")</f>
        <v>MMR012CMP039</v>
      </c>
      <c r="E224" s="663" t="s">
        <v>607</v>
      </c>
      <c r="F224" s="665" t="s">
        <v>676</v>
      </c>
      <c r="G224" s="659">
        <v>141</v>
      </c>
      <c r="H224" s="130">
        <f t="shared" si="7"/>
        <v>-141</v>
      </c>
      <c r="I224" s="662" t="s">
        <v>575</v>
      </c>
      <c r="J224" s="675">
        <v>43373</v>
      </c>
      <c r="K224" s="268"/>
    </row>
    <row r="225" spans="1:11" s="645" customFormat="1" ht="15" customHeight="1" x14ac:dyDescent="0.25">
      <c r="A225" s="660" t="s">
        <v>7</v>
      </c>
      <c r="B225" s="661" t="s">
        <v>17</v>
      </c>
      <c r="C225" s="662" t="s">
        <v>59</v>
      </c>
      <c r="D225" s="323" t="str">
        <f ca="1">IFERROR(OFFSET(Camp_List[P_Code],MATCH(Data_Demography_t[[#This Row],[Camp]],Camp_List[Camp Name],0)-1,0,1,1),"")</f>
        <v>MMR012CMP039</v>
      </c>
      <c r="E225" s="663" t="s">
        <v>607</v>
      </c>
      <c r="F225" s="665" t="s">
        <v>677</v>
      </c>
      <c r="G225" s="659">
        <v>132</v>
      </c>
      <c r="H225" s="130">
        <f t="shared" si="7"/>
        <v>132</v>
      </c>
      <c r="I225" s="662" t="s">
        <v>575</v>
      </c>
      <c r="J225" s="675">
        <v>43373</v>
      </c>
      <c r="K225" s="268"/>
    </row>
    <row r="226" spans="1:11" ht="15" customHeight="1" x14ac:dyDescent="0.25">
      <c r="A226" s="660" t="s">
        <v>7</v>
      </c>
      <c r="B226" s="661" t="s">
        <v>17</v>
      </c>
      <c r="C226" s="662" t="s">
        <v>59</v>
      </c>
      <c r="D226" s="323" t="str">
        <f ca="1">IFERROR(OFFSET(Camp_List[P_Code],MATCH(Data_Demography_t[[#This Row],[Camp]],Camp_List[Camp Name],0)-1,0,1,1),"")</f>
        <v>MMR012CMP039</v>
      </c>
      <c r="E226" s="663" t="s">
        <v>829</v>
      </c>
      <c r="F226" s="665" t="s">
        <v>676</v>
      </c>
      <c r="G226" s="659">
        <v>142</v>
      </c>
      <c r="H226" s="130">
        <f t="shared" si="7"/>
        <v>-142</v>
      </c>
      <c r="I226" s="662" t="s">
        <v>575</v>
      </c>
      <c r="J226" s="675">
        <v>43373</v>
      </c>
    </row>
    <row r="227" spans="1:11" ht="15" customHeight="1" x14ac:dyDescent="0.25">
      <c r="A227" s="660" t="s">
        <v>7</v>
      </c>
      <c r="B227" s="661" t="s">
        <v>17</v>
      </c>
      <c r="C227" s="662" t="s">
        <v>59</v>
      </c>
      <c r="D227" s="323" t="str">
        <f ca="1">IFERROR(OFFSET(Camp_List[P_Code],MATCH(Data_Demography_t[[#This Row],[Camp]],Camp_List[Camp Name],0)-1,0,1,1),"")</f>
        <v>MMR012CMP039</v>
      </c>
      <c r="E227" s="663" t="s">
        <v>829</v>
      </c>
      <c r="F227" s="665" t="s">
        <v>677</v>
      </c>
      <c r="G227" s="659">
        <v>213</v>
      </c>
      <c r="H227" s="130">
        <f t="shared" si="7"/>
        <v>213</v>
      </c>
      <c r="I227" s="662" t="s">
        <v>575</v>
      </c>
      <c r="J227" s="675">
        <v>43373</v>
      </c>
    </row>
    <row r="228" spans="1:11" ht="15" customHeight="1" x14ac:dyDescent="0.25">
      <c r="A228" s="660" t="s">
        <v>7</v>
      </c>
      <c r="B228" s="661" t="s">
        <v>17</v>
      </c>
      <c r="C228" s="662" t="s">
        <v>59</v>
      </c>
      <c r="D228" s="323" t="str">
        <f ca="1">IFERROR(OFFSET(Camp_List[P_Code],MATCH(Data_Demography_t[[#This Row],[Camp]],Camp_List[Camp Name],0)-1,0,1,1),"")</f>
        <v>MMR012CMP039</v>
      </c>
      <c r="E228" s="664" t="s">
        <v>830</v>
      </c>
      <c r="F228" s="665" t="s">
        <v>676</v>
      </c>
      <c r="G228" s="659">
        <v>333</v>
      </c>
      <c r="H228" s="130">
        <f t="shared" si="7"/>
        <v>-333</v>
      </c>
      <c r="I228" s="662" t="s">
        <v>575</v>
      </c>
      <c r="J228" s="675">
        <v>43373</v>
      </c>
    </row>
    <row r="229" spans="1:11" ht="15" customHeight="1" x14ac:dyDescent="0.25">
      <c r="A229" s="660" t="s">
        <v>7</v>
      </c>
      <c r="B229" s="661" t="s">
        <v>17</v>
      </c>
      <c r="C229" s="662" t="s">
        <v>59</v>
      </c>
      <c r="D229" s="323" t="str">
        <f ca="1">IFERROR(OFFSET(Camp_List[P_Code],MATCH(Data_Demography_t[[#This Row],[Camp]],Camp_List[Camp Name],0)-1,0,1,1),"")</f>
        <v>MMR012CMP039</v>
      </c>
      <c r="E229" s="664" t="s">
        <v>830</v>
      </c>
      <c r="F229" s="665" t="s">
        <v>677</v>
      </c>
      <c r="G229" s="659">
        <v>349</v>
      </c>
      <c r="H229" s="130">
        <f t="shared" si="7"/>
        <v>349</v>
      </c>
      <c r="I229" s="662" t="s">
        <v>575</v>
      </c>
      <c r="J229" s="675">
        <v>43373</v>
      </c>
    </row>
    <row r="230" spans="1:11" ht="15" customHeight="1" x14ac:dyDescent="0.25">
      <c r="A230" s="660" t="s">
        <v>7</v>
      </c>
      <c r="B230" s="661" t="s">
        <v>17</v>
      </c>
      <c r="C230" s="662" t="s">
        <v>59</v>
      </c>
      <c r="D230" s="323" t="str">
        <f ca="1">IFERROR(OFFSET(Camp_List[P_Code],MATCH(Data_Demography_t[[#This Row],[Camp]],Camp_List[Camp Name],0)-1,0,1,1),"")</f>
        <v>MMR012CMP039</v>
      </c>
      <c r="E230" s="663" t="s">
        <v>806</v>
      </c>
      <c r="F230" s="665" t="s">
        <v>676</v>
      </c>
      <c r="G230" s="659">
        <v>49</v>
      </c>
      <c r="H230" s="130">
        <f t="shared" si="7"/>
        <v>-49</v>
      </c>
      <c r="I230" s="662" t="s">
        <v>575</v>
      </c>
      <c r="J230" s="675">
        <v>43373</v>
      </c>
    </row>
    <row r="231" spans="1:11" ht="15" customHeight="1" x14ac:dyDescent="0.25">
      <c r="A231" s="666" t="s">
        <v>7</v>
      </c>
      <c r="B231" s="667" t="s">
        <v>17</v>
      </c>
      <c r="C231" s="668" t="s">
        <v>59</v>
      </c>
      <c r="D231" s="323" t="str">
        <f ca="1">IFERROR(OFFSET(Camp_List[P_Code],MATCH(Data_Demography_t[[#This Row],[Camp]],Camp_List[Camp Name],0)-1,0,1,1),"")</f>
        <v>MMR012CMP039</v>
      </c>
      <c r="E231" s="669" t="s">
        <v>806</v>
      </c>
      <c r="F231" s="670" t="s">
        <v>677</v>
      </c>
      <c r="G231" s="671">
        <v>59</v>
      </c>
      <c r="H231" s="130">
        <f t="shared" si="7"/>
        <v>59</v>
      </c>
      <c r="I231" s="668" t="s">
        <v>575</v>
      </c>
      <c r="J231" s="675">
        <v>43373</v>
      </c>
    </row>
    <row r="238" spans="1:11" s="645" customFormat="1" x14ac:dyDescent="0.25">
      <c r="A238" s="78"/>
      <c r="B238" s="78"/>
      <c r="C238" s="78"/>
      <c r="D238" s="78"/>
      <c r="E238" s="78"/>
      <c r="F238" s="78"/>
      <c r="G238" s="23"/>
      <c r="H238"/>
      <c r="I238" s="78"/>
      <c r="J238" s="268"/>
      <c r="K238" s="268"/>
    </row>
    <row r="239" spans="1:11" s="645" customFormat="1" x14ac:dyDescent="0.25">
      <c r="A239" s="78"/>
      <c r="B239" s="78"/>
      <c r="C239" s="78"/>
      <c r="D239" s="78"/>
      <c r="E239" s="78"/>
      <c r="F239" s="78"/>
      <c r="G239" s="23"/>
      <c r="H239"/>
      <c r="I239" s="78"/>
      <c r="J239" s="268"/>
      <c r="K239" s="268"/>
    </row>
    <row r="252" spans="1:11" s="645" customFormat="1" x14ac:dyDescent="0.25">
      <c r="A252" s="78"/>
      <c r="B252" s="78"/>
      <c r="C252" s="78"/>
      <c r="D252" s="78"/>
      <c r="E252" s="78"/>
      <c r="F252" s="78"/>
      <c r="G252" s="23"/>
      <c r="H252"/>
      <c r="I252" s="78"/>
      <c r="J252" s="268"/>
      <c r="K252" s="268"/>
    </row>
    <row r="253" spans="1:11" s="645" customFormat="1" x14ac:dyDescent="0.25">
      <c r="A253" s="78"/>
      <c r="B253" s="78"/>
      <c r="C253" s="78"/>
      <c r="D253" s="78"/>
      <c r="E253" s="78"/>
      <c r="F253" s="78"/>
      <c r="G253" s="23"/>
      <c r="H253"/>
      <c r="I253" s="78"/>
      <c r="J253" s="268"/>
      <c r="K253" s="268"/>
    </row>
  </sheetData>
  <dataValidations count="4">
    <dataValidation type="list" allowBlank="1" showInputMessage="1" showErrorMessage="1" sqref="A4:A231">
      <formula1>State</formula1>
    </dataValidation>
    <dataValidation type="list" allowBlank="1" showInputMessage="1" showErrorMessage="1" sqref="E4:E231">
      <formula1>Age_Category</formula1>
    </dataValidation>
    <dataValidation type="list" showInputMessage="1" showErrorMessage="1" sqref="B4:B231">
      <formula1>INDIRECT(A4)</formula1>
    </dataValidation>
    <dataValidation type="list" errorStyle="warning" showInputMessage="1" showErrorMessage="1" sqref="C4:C63 C76:C231">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95"/>
  <sheetViews>
    <sheetView topLeftCell="B1" zoomScale="80" zoomScaleNormal="80" workbookViewId="0">
      <selection activeCell="K24" sqref="K24"/>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07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86" t="s">
        <v>10</v>
      </c>
      <c r="B1" s="487" t="s">
        <v>1</v>
      </c>
      <c r="C1" s="487" t="s">
        <v>9</v>
      </c>
      <c r="D1" s="487" t="s">
        <v>521</v>
      </c>
      <c r="E1" s="488" t="s">
        <v>684</v>
      </c>
      <c r="F1" s="920" t="s">
        <v>1136</v>
      </c>
      <c r="G1" s="920" t="s">
        <v>1137</v>
      </c>
      <c r="H1" s="921" t="s">
        <v>5</v>
      </c>
      <c r="I1" s="489" t="s">
        <v>323</v>
      </c>
      <c r="J1" s="490" t="s">
        <v>818</v>
      </c>
      <c r="K1" s="918"/>
      <c r="M1" s="721"/>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1003</v>
      </c>
      <c r="F2" s="922">
        <v>19</v>
      </c>
      <c r="G2" s="922">
        <v>13</v>
      </c>
      <c r="H2" s="1076">
        <f>Data_Vulnerability_t[[#This Row],[Male]]+Data_Vulnerability_t[[#This Row],[Female]]</f>
        <v>32</v>
      </c>
      <c r="I2" s="271" t="s">
        <v>575</v>
      </c>
      <c r="J2" s="673">
        <v>43373</v>
      </c>
      <c r="K2" s="919"/>
      <c r="M2" s="721"/>
      <c r="N2" s="721"/>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1004</v>
      </c>
      <c r="F3" s="922">
        <v>5</v>
      </c>
      <c r="G3" s="922">
        <v>5</v>
      </c>
      <c r="H3" s="1076">
        <f>Data_Vulnerability_t[[#This Row],[Male]]+Data_Vulnerability_t[[#This Row],[Female]]</f>
        <v>10</v>
      </c>
      <c r="I3" s="271" t="s">
        <v>575</v>
      </c>
      <c r="J3" s="673">
        <v>43373</v>
      </c>
      <c r="K3" s="919"/>
      <c r="M3" s="721"/>
      <c r="N3" s="721"/>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1005</v>
      </c>
      <c r="F4" s="922">
        <v>6</v>
      </c>
      <c r="G4" s="922">
        <v>8</v>
      </c>
      <c r="H4" s="1076">
        <f>Data_Vulnerability_t[[#This Row],[Male]]+Data_Vulnerability_t[[#This Row],[Female]]</f>
        <v>14</v>
      </c>
      <c r="I4" s="271" t="s">
        <v>575</v>
      </c>
      <c r="J4" s="673">
        <v>43373</v>
      </c>
      <c r="K4" s="919"/>
      <c r="M4" s="721"/>
      <c r="N4" s="721"/>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1006</v>
      </c>
      <c r="F5" s="922">
        <v>0</v>
      </c>
      <c r="G5" s="922">
        <v>0</v>
      </c>
      <c r="H5" s="1076">
        <f>Data_Vulnerability_t[[#This Row],[Male]]+Data_Vulnerability_t[[#This Row],[Female]]</f>
        <v>0</v>
      </c>
      <c r="I5" s="271" t="s">
        <v>575</v>
      </c>
      <c r="J5" s="673">
        <v>43373</v>
      </c>
      <c r="K5" s="919"/>
      <c r="M5" s="721"/>
      <c r="N5" s="721"/>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1007</v>
      </c>
      <c r="F6" s="922">
        <v>0</v>
      </c>
      <c r="G6" s="922">
        <v>0</v>
      </c>
      <c r="H6" s="1076">
        <f>Data_Vulnerability_t[[#This Row],[Male]]+Data_Vulnerability_t[[#This Row],[Female]]</f>
        <v>0</v>
      </c>
      <c r="I6" s="271" t="s">
        <v>575</v>
      </c>
      <c r="J6" s="673">
        <v>43373</v>
      </c>
      <c r="K6" s="919"/>
      <c r="M6" s="721"/>
      <c r="N6" s="721"/>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1008</v>
      </c>
      <c r="F7" s="922">
        <v>49</v>
      </c>
      <c r="G7" s="922">
        <v>33</v>
      </c>
      <c r="H7" s="1076">
        <f>Data_Vulnerability_t[[#This Row],[Male]]+Data_Vulnerability_t[[#This Row],[Female]]</f>
        <v>82</v>
      </c>
      <c r="I7" s="271" t="s">
        <v>575</v>
      </c>
      <c r="J7" s="673">
        <v>43373</v>
      </c>
      <c r="K7" s="919"/>
      <c r="M7" s="721"/>
      <c r="N7" s="721"/>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1009</v>
      </c>
      <c r="F8" s="922">
        <v>0</v>
      </c>
      <c r="G8" s="922">
        <v>143</v>
      </c>
      <c r="H8" s="1076">
        <f>Data_Vulnerability_t[[#This Row],[Male]]+Data_Vulnerability_t[[#This Row],[Female]]</f>
        <v>143</v>
      </c>
      <c r="I8" s="271" t="s">
        <v>575</v>
      </c>
      <c r="J8" s="673">
        <v>43373</v>
      </c>
      <c r="K8" s="919"/>
      <c r="M8" s="721"/>
      <c r="N8" s="721"/>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1010</v>
      </c>
      <c r="F9" s="922"/>
      <c r="G9" s="922">
        <v>112</v>
      </c>
      <c r="H9" s="1076">
        <f>Data_Vulnerability_t[[#This Row],[Male]]+Data_Vulnerability_t[[#This Row],[Female]]</f>
        <v>112</v>
      </c>
      <c r="I9" s="271" t="s">
        <v>575</v>
      </c>
      <c r="J9" s="673">
        <v>43373</v>
      </c>
      <c r="K9" s="919"/>
      <c r="M9" s="721"/>
      <c r="N9" s="721"/>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774</v>
      </c>
      <c r="F10" s="922"/>
      <c r="G10" s="922">
        <v>320</v>
      </c>
      <c r="H10" s="1076">
        <f>Data_Vulnerability_t[[#This Row],[Male]]+Data_Vulnerability_t[[#This Row],[Female]]</f>
        <v>320</v>
      </c>
      <c r="I10" s="271" t="s">
        <v>575</v>
      </c>
      <c r="J10" s="673">
        <v>43373</v>
      </c>
      <c r="K10" s="919"/>
      <c r="M10" s="721"/>
      <c r="N10" s="721"/>
      <c r="R10" s="645"/>
      <c r="S10" s="645"/>
      <c r="T10" s="645"/>
      <c r="U10" s="645"/>
      <c r="V10" s="645"/>
      <c r="W10" s="645"/>
      <c r="X10" s="645"/>
      <c r="Y10" s="645"/>
      <c r="Z10" s="645"/>
      <c r="AA10" s="645"/>
      <c r="AB10" s="645"/>
      <c r="AC10" s="645"/>
      <c r="AD10" s="645"/>
      <c r="AE10" s="645"/>
      <c r="AF10" s="645"/>
      <c r="AG10" s="645"/>
      <c r="AH10" s="645"/>
      <c r="AI10" s="645"/>
      <c r="AJ10" s="645"/>
      <c r="AK10" s="645"/>
    </row>
    <row r="11" spans="1:37" ht="15" customHeight="1" x14ac:dyDescent="0.25">
      <c r="A11" s="274" t="s">
        <v>7</v>
      </c>
      <c r="B11" s="290" t="s">
        <v>17</v>
      </c>
      <c r="C11" s="275" t="s">
        <v>59</v>
      </c>
      <c r="D11" s="275" t="str">
        <f ca="1">IFERROR(OFFSET(Camp_List[P_Code],MATCH(Data_Vulnerability_t[[#This Row],[Camp Name]],Camp_List[Camp Name],0)-1,0,1,1),"")</f>
        <v>MMR012CMP039</v>
      </c>
      <c r="E11" s="276" t="s">
        <v>1003</v>
      </c>
      <c r="F11" s="922">
        <v>44</v>
      </c>
      <c r="G11" s="922">
        <v>24</v>
      </c>
      <c r="H11" s="1076">
        <f>Data_Vulnerability_t[[#This Row],[Male]]+Data_Vulnerability_t[[#This Row],[Female]]</f>
        <v>68</v>
      </c>
      <c r="I11" s="271" t="s">
        <v>575</v>
      </c>
      <c r="J11" s="673">
        <v>43373</v>
      </c>
      <c r="K11" s="919"/>
      <c r="M11" s="721"/>
      <c r="N11" s="721"/>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1004</v>
      </c>
      <c r="F12" s="922">
        <v>9</v>
      </c>
      <c r="G12" s="922">
        <v>6</v>
      </c>
      <c r="H12" s="1076">
        <f>Data_Vulnerability_t[[#This Row],[Male]]+Data_Vulnerability_t[[#This Row],[Female]]</f>
        <v>15</v>
      </c>
      <c r="I12" s="271" t="s">
        <v>575</v>
      </c>
      <c r="J12" s="673">
        <v>43373</v>
      </c>
      <c r="K12" s="919"/>
      <c r="M12" s="721"/>
      <c r="N12" s="721"/>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1005</v>
      </c>
      <c r="F13" s="922">
        <v>3</v>
      </c>
      <c r="G13" s="922">
        <v>2</v>
      </c>
      <c r="H13" s="1076">
        <f>Data_Vulnerability_t[[#This Row],[Male]]+Data_Vulnerability_t[[#This Row],[Female]]</f>
        <v>5</v>
      </c>
      <c r="I13" s="271" t="s">
        <v>575</v>
      </c>
      <c r="J13" s="673">
        <v>43373</v>
      </c>
      <c r="K13" s="919"/>
      <c r="M13" s="721"/>
      <c r="N13" s="721"/>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1006</v>
      </c>
      <c r="F14" s="922">
        <v>0</v>
      </c>
      <c r="G14" s="922">
        <v>0</v>
      </c>
      <c r="H14" s="1076">
        <f>Data_Vulnerability_t[[#This Row],[Male]]+Data_Vulnerability_t[[#This Row],[Female]]</f>
        <v>0</v>
      </c>
      <c r="I14" s="271" t="s">
        <v>575</v>
      </c>
      <c r="J14" s="673">
        <v>43373</v>
      </c>
      <c r="K14" s="919"/>
      <c r="M14" s="721"/>
      <c r="N14" s="721"/>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1007</v>
      </c>
      <c r="F15" s="922">
        <v>0</v>
      </c>
      <c r="G15" s="922">
        <v>0</v>
      </c>
      <c r="H15" s="1076">
        <f>Data_Vulnerability_t[[#This Row],[Male]]+Data_Vulnerability_t[[#This Row],[Female]]</f>
        <v>0</v>
      </c>
      <c r="I15" s="271" t="s">
        <v>575</v>
      </c>
      <c r="J15" s="673">
        <v>43373</v>
      </c>
      <c r="K15" s="919"/>
      <c r="M15" s="721"/>
      <c r="N15" s="721"/>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1008</v>
      </c>
      <c r="F16" s="922">
        <v>44</v>
      </c>
      <c r="G16" s="922">
        <v>59</v>
      </c>
      <c r="H16" s="1076">
        <f>Data_Vulnerability_t[[#This Row],[Male]]+Data_Vulnerability_t[[#This Row],[Female]]</f>
        <v>103</v>
      </c>
      <c r="I16" s="271" t="s">
        <v>575</v>
      </c>
      <c r="J16" s="673">
        <v>43373</v>
      </c>
      <c r="K16" s="919"/>
      <c r="M16" s="721"/>
      <c r="N16" s="721"/>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1009</v>
      </c>
      <c r="F17" s="922">
        <v>2</v>
      </c>
      <c r="G17" s="922">
        <v>44</v>
      </c>
      <c r="H17" s="1076">
        <f>Data_Vulnerability_t[[#This Row],[Male]]+Data_Vulnerability_t[[#This Row],[Female]]</f>
        <v>46</v>
      </c>
      <c r="I17" s="271" t="s">
        <v>575</v>
      </c>
      <c r="J17" s="673">
        <v>43373</v>
      </c>
      <c r="K17" s="919"/>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1010</v>
      </c>
      <c r="F18" s="922"/>
      <c r="G18" s="922">
        <v>46</v>
      </c>
      <c r="H18" s="1076">
        <f>Data_Vulnerability_t[[#This Row],[Male]]+Data_Vulnerability_t[[#This Row],[Female]]</f>
        <v>46</v>
      </c>
      <c r="I18" s="271" t="s">
        <v>575</v>
      </c>
      <c r="J18" s="673">
        <v>43373</v>
      </c>
      <c r="K18" s="919"/>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774</v>
      </c>
      <c r="F19" s="922"/>
      <c r="G19" s="922">
        <v>96</v>
      </c>
      <c r="H19" s="1076">
        <f>Data_Vulnerability_t[[#This Row],[Male]]+Data_Vulnerability_t[[#This Row],[Female]]</f>
        <v>96</v>
      </c>
      <c r="I19" s="271" t="s">
        <v>575</v>
      </c>
      <c r="J19" s="673">
        <v>43373</v>
      </c>
      <c r="K19" s="919"/>
      <c r="M19" s="645"/>
      <c r="N19" s="645"/>
      <c r="O19" s="645"/>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1003</v>
      </c>
      <c r="F20" s="922">
        <v>38</v>
      </c>
      <c r="G20" s="922">
        <v>61</v>
      </c>
      <c r="H20" s="1076">
        <f>Data_Vulnerability_t[[#This Row],[Male]]+Data_Vulnerability_t[[#This Row],[Female]]</f>
        <v>99</v>
      </c>
      <c r="I20" s="271" t="s">
        <v>273</v>
      </c>
      <c r="J20" s="673">
        <v>43373</v>
      </c>
      <c r="K20" s="919"/>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1004</v>
      </c>
      <c r="F21" s="922"/>
      <c r="G21" s="922"/>
      <c r="H21" s="1076">
        <f>Data_Vulnerability_t[[#This Row],[Male]]+Data_Vulnerability_t[[#This Row],[Female]]</f>
        <v>0</v>
      </c>
      <c r="I21" s="271" t="s">
        <v>273</v>
      </c>
      <c r="J21" s="673">
        <v>43373</v>
      </c>
      <c r="K21" s="919"/>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1005</v>
      </c>
      <c r="F22" s="922">
        <v>11</v>
      </c>
      <c r="G22" s="922">
        <v>10</v>
      </c>
      <c r="H22" s="1076">
        <v>33</v>
      </c>
      <c r="I22" s="271" t="s">
        <v>273</v>
      </c>
      <c r="J22" s="673">
        <v>43373</v>
      </c>
      <c r="K22" s="919"/>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1006</v>
      </c>
      <c r="F23" s="922"/>
      <c r="G23" s="922"/>
      <c r="H23" s="1076">
        <f>Data_Vulnerability_t[[#This Row],[Male]]+Data_Vulnerability_t[[#This Row],[Female]]</f>
        <v>0</v>
      </c>
      <c r="I23" s="271" t="s">
        <v>273</v>
      </c>
      <c r="J23" s="673">
        <v>43373</v>
      </c>
      <c r="K23" s="919"/>
      <c r="N23"/>
      <c r="O23"/>
    </row>
    <row r="24" spans="1:15" ht="15" x14ac:dyDescent="0.25">
      <c r="A24" s="274" t="s">
        <v>7</v>
      </c>
      <c r="B24" s="290" t="s">
        <v>17</v>
      </c>
      <c r="C24" s="275" t="s">
        <v>581</v>
      </c>
      <c r="D24" s="275" t="str">
        <f ca="1">IFERROR(OFFSET(Camp_List[P_Code],MATCH(Data_Vulnerability_t[[#This Row],[Camp Name]],Camp_List[Camp Name],0)-1,0,1,1),"")</f>
        <v>MMR012CMP113</v>
      </c>
      <c r="E24" s="276" t="s">
        <v>1007</v>
      </c>
      <c r="F24" s="922"/>
      <c r="G24" s="922"/>
      <c r="H24" s="1076">
        <f>Data_Vulnerability_t[[#This Row],[Male]]+Data_Vulnerability_t[[#This Row],[Female]]</f>
        <v>0</v>
      </c>
      <c r="I24" s="271" t="s">
        <v>273</v>
      </c>
      <c r="J24" s="673">
        <v>43373</v>
      </c>
      <c r="K24" s="919"/>
      <c r="N24"/>
      <c r="O24"/>
    </row>
    <row r="25" spans="1:15" ht="15" x14ac:dyDescent="0.25">
      <c r="A25" s="274" t="s">
        <v>7</v>
      </c>
      <c r="B25" s="290" t="s">
        <v>17</v>
      </c>
      <c r="C25" s="275" t="s">
        <v>581</v>
      </c>
      <c r="D25" s="275" t="str">
        <f ca="1">IFERROR(OFFSET(Camp_List[P_Code],MATCH(Data_Vulnerability_t[[#This Row],[Camp Name]],Camp_List[Camp Name],0)-1,0,1,1),"")</f>
        <v>MMR012CMP113</v>
      </c>
      <c r="E25" s="276" t="s">
        <v>1008</v>
      </c>
      <c r="F25" s="922"/>
      <c r="G25" s="922"/>
      <c r="H25" s="1076">
        <v>40</v>
      </c>
      <c r="I25" s="271" t="s">
        <v>273</v>
      </c>
      <c r="J25" s="673">
        <v>43373</v>
      </c>
      <c r="K25" s="919"/>
      <c r="N25"/>
      <c r="O25"/>
    </row>
    <row r="26" spans="1:15" ht="15" x14ac:dyDescent="0.25">
      <c r="A26" s="274" t="s">
        <v>7</v>
      </c>
      <c r="B26" s="290" t="s">
        <v>17</v>
      </c>
      <c r="C26" s="275" t="s">
        <v>581</v>
      </c>
      <c r="D26" s="275" t="str">
        <f ca="1">IFERROR(OFFSET(Camp_List[P_Code],MATCH(Data_Vulnerability_t[[#This Row],[Camp Name]],Camp_List[Camp Name],0)-1,0,1,1),"")</f>
        <v>MMR012CMP113</v>
      </c>
      <c r="E26" s="276" t="s">
        <v>1009</v>
      </c>
      <c r="F26" s="922"/>
      <c r="G26" s="922">
        <v>85</v>
      </c>
      <c r="H26" s="1076">
        <f>Data_Vulnerability_t[[#This Row],[Male]]+Data_Vulnerability_t[[#This Row],[Female]]</f>
        <v>85</v>
      </c>
      <c r="I26" s="271" t="s">
        <v>273</v>
      </c>
      <c r="J26" s="673">
        <v>43373</v>
      </c>
      <c r="K26" s="919"/>
      <c r="N26"/>
      <c r="O26"/>
    </row>
    <row r="27" spans="1:15" ht="15" x14ac:dyDescent="0.25">
      <c r="A27" s="274" t="s">
        <v>7</v>
      </c>
      <c r="B27" s="290" t="s">
        <v>17</v>
      </c>
      <c r="C27" s="275" t="s">
        <v>581</v>
      </c>
      <c r="D27" s="275" t="str">
        <f ca="1">IFERROR(OFFSET(Camp_List[P_Code],MATCH(Data_Vulnerability_t[[#This Row],[Camp Name]],Camp_List[Camp Name],0)-1,0,1,1),"")</f>
        <v>MMR012CMP113</v>
      </c>
      <c r="E27" s="276" t="s">
        <v>1010</v>
      </c>
      <c r="F27" s="922"/>
      <c r="G27" s="922">
        <v>69</v>
      </c>
      <c r="H27" s="1076">
        <f>Data_Vulnerability_t[[#This Row],[Male]]+Data_Vulnerability_t[[#This Row],[Female]]</f>
        <v>69</v>
      </c>
      <c r="I27" s="271" t="s">
        <v>273</v>
      </c>
      <c r="J27" s="673">
        <v>43373</v>
      </c>
      <c r="K27" s="919"/>
      <c r="N27"/>
      <c r="O27"/>
    </row>
    <row r="28" spans="1:15" ht="15" x14ac:dyDescent="0.25">
      <c r="A28" s="274" t="s">
        <v>7</v>
      </c>
      <c r="B28" s="290" t="s">
        <v>17</v>
      </c>
      <c r="C28" s="275" t="s">
        <v>581</v>
      </c>
      <c r="D28" s="323" t="str">
        <f ca="1">IFERROR(OFFSET(Camp_List[P_Code],MATCH(Data_Vulnerability_t[[#This Row],[Camp Name]],Camp_List[Camp Name],0)-1,0,1,1),"")</f>
        <v>MMR012CMP113</v>
      </c>
      <c r="E28" s="276" t="s">
        <v>774</v>
      </c>
      <c r="F28" s="922"/>
      <c r="G28" s="922">
        <v>254</v>
      </c>
      <c r="H28" s="1076">
        <f>Data_Vulnerability_t[[#This Row],[Male]]+Data_Vulnerability_t[[#This Row],[Female]]</f>
        <v>254</v>
      </c>
      <c r="I28" s="271" t="s">
        <v>273</v>
      </c>
      <c r="J28" s="673">
        <v>43373</v>
      </c>
      <c r="K28" s="919"/>
      <c r="N28" s="645"/>
      <c r="O28" s="645"/>
    </row>
    <row r="29" spans="1:15" ht="15" x14ac:dyDescent="0.25">
      <c r="A29" s="274" t="s">
        <v>7</v>
      </c>
      <c r="B29" s="290" t="s">
        <v>17</v>
      </c>
      <c r="C29" s="311" t="s">
        <v>582</v>
      </c>
      <c r="D29" s="275" t="str">
        <f ca="1">IFERROR(OFFSET(Camp_List[P_Code],MATCH(Data_Vulnerability_t[[#This Row],[Camp Name]],Camp_List[Camp Name],0)-1,0,1,1),"")</f>
        <v>MMR012CMP114</v>
      </c>
      <c r="E29" s="276" t="s">
        <v>1003</v>
      </c>
      <c r="F29" s="922">
        <v>64</v>
      </c>
      <c r="G29" s="922">
        <v>67</v>
      </c>
      <c r="H29" s="1076">
        <f>Data_Vulnerability_t[[#This Row],[Male]]+Data_Vulnerability_t[[#This Row],[Female]]</f>
        <v>131</v>
      </c>
      <c r="I29" s="271" t="s">
        <v>273</v>
      </c>
      <c r="J29" s="673">
        <v>43373</v>
      </c>
      <c r="K29" s="919"/>
      <c r="N29"/>
      <c r="O29"/>
    </row>
    <row r="30" spans="1:15" ht="15" x14ac:dyDescent="0.25">
      <c r="A30" s="274" t="s">
        <v>7</v>
      </c>
      <c r="B30" s="290" t="s">
        <v>17</v>
      </c>
      <c r="C30" s="311" t="s">
        <v>582</v>
      </c>
      <c r="D30" s="275" t="str">
        <f ca="1">IFERROR(OFFSET(Camp_List[P_Code],MATCH(Data_Vulnerability_t[[#This Row],[Camp Name]],Camp_List[Camp Name],0)-1,0,1,1),"")</f>
        <v>MMR012CMP114</v>
      </c>
      <c r="E30" s="276" t="s">
        <v>1004</v>
      </c>
      <c r="F30" s="922"/>
      <c r="G30" s="922"/>
      <c r="H30" s="1076">
        <f>Data_Vulnerability_t[[#This Row],[Male]]+Data_Vulnerability_t[[#This Row],[Female]]</f>
        <v>0</v>
      </c>
      <c r="I30" s="271" t="s">
        <v>273</v>
      </c>
      <c r="J30" s="673">
        <v>43373</v>
      </c>
      <c r="K30" s="919"/>
      <c r="N30"/>
      <c r="O30"/>
    </row>
    <row r="31" spans="1:15" ht="15" x14ac:dyDescent="0.25">
      <c r="A31" s="274" t="s">
        <v>7</v>
      </c>
      <c r="B31" s="290" t="s">
        <v>17</v>
      </c>
      <c r="C31" s="311" t="s">
        <v>582</v>
      </c>
      <c r="D31" s="275" t="str">
        <f ca="1">IFERROR(OFFSET(Camp_List[P_Code],MATCH(Data_Vulnerability_t[[#This Row],[Camp Name]],Camp_List[Camp Name],0)-1,0,1,1),"")</f>
        <v>MMR012CMP114</v>
      </c>
      <c r="E31" s="276" t="s">
        <v>1005</v>
      </c>
      <c r="F31" s="922">
        <v>39</v>
      </c>
      <c r="G31" s="922">
        <v>28</v>
      </c>
      <c r="H31" s="1076">
        <f>Data_Vulnerability_t[[#This Row],[Male]]+Data_Vulnerability_t[[#This Row],[Female]]</f>
        <v>67</v>
      </c>
      <c r="I31" s="271" t="s">
        <v>273</v>
      </c>
      <c r="J31" s="673">
        <v>43373</v>
      </c>
      <c r="K31" s="919"/>
      <c r="N31"/>
      <c r="O31"/>
    </row>
    <row r="32" spans="1:15" ht="15" x14ac:dyDescent="0.25">
      <c r="A32" s="274" t="s">
        <v>7</v>
      </c>
      <c r="B32" s="290" t="s">
        <v>17</v>
      </c>
      <c r="C32" s="311" t="s">
        <v>582</v>
      </c>
      <c r="D32" s="275" t="str">
        <f ca="1">IFERROR(OFFSET(Camp_List[P_Code],MATCH(Data_Vulnerability_t[[#This Row],[Camp Name]],Camp_List[Camp Name],0)-1,0,1,1),"")</f>
        <v>MMR012CMP114</v>
      </c>
      <c r="E32" s="276" t="s">
        <v>1006</v>
      </c>
      <c r="F32" s="922"/>
      <c r="G32" s="922">
        <v>18</v>
      </c>
      <c r="H32" s="1076">
        <f>Data_Vulnerability_t[[#This Row],[Male]]+Data_Vulnerability_t[[#This Row],[Female]]</f>
        <v>18</v>
      </c>
      <c r="I32" s="271" t="s">
        <v>273</v>
      </c>
      <c r="J32" s="673">
        <v>43373</v>
      </c>
      <c r="K32" s="919"/>
      <c r="N32"/>
      <c r="O32"/>
    </row>
    <row r="33" spans="1:17" ht="15" x14ac:dyDescent="0.25">
      <c r="A33" s="274" t="s">
        <v>7</v>
      </c>
      <c r="B33" s="290" t="s">
        <v>17</v>
      </c>
      <c r="C33" s="311" t="s">
        <v>582</v>
      </c>
      <c r="D33" s="275" t="str">
        <f ca="1">IFERROR(OFFSET(Camp_List[P_Code],MATCH(Data_Vulnerability_t[[#This Row],[Camp Name]],Camp_List[Camp Name],0)-1,0,1,1),"")</f>
        <v>MMR012CMP114</v>
      </c>
      <c r="E33" s="276" t="s">
        <v>1007</v>
      </c>
      <c r="F33" s="922"/>
      <c r="G33" s="922">
        <v>18</v>
      </c>
      <c r="H33" s="1076">
        <f>Data_Vulnerability_t[[#This Row],[Male]]+Data_Vulnerability_t[[#This Row],[Female]]</f>
        <v>18</v>
      </c>
      <c r="I33" s="271" t="s">
        <v>273</v>
      </c>
      <c r="J33" s="673">
        <v>43373</v>
      </c>
      <c r="K33" s="919"/>
      <c r="N33"/>
      <c r="O33"/>
    </row>
    <row r="34" spans="1:17" ht="15" x14ac:dyDescent="0.25">
      <c r="A34" s="274" t="s">
        <v>7</v>
      </c>
      <c r="B34" s="290" t="s">
        <v>17</v>
      </c>
      <c r="C34" s="311" t="s">
        <v>582</v>
      </c>
      <c r="D34" s="275" t="str">
        <f ca="1">IFERROR(OFFSET(Camp_List[P_Code],MATCH(Data_Vulnerability_t[[#This Row],[Camp Name]],Camp_List[Camp Name],0)-1,0,1,1),"")</f>
        <v>MMR012CMP114</v>
      </c>
      <c r="E34" s="276" t="s">
        <v>1008</v>
      </c>
      <c r="F34" s="922">
        <v>104</v>
      </c>
      <c r="G34" s="922">
        <v>0</v>
      </c>
      <c r="H34" s="1076">
        <f>Data_Vulnerability_t[[#This Row],[Male]]+Data_Vulnerability_t[[#This Row],[Female]]</f>
        <v>104</v>
      </c>
      <c r="I34" s="271" t="s">
        <v>273</v>
      </c>
      <c r="J34" s="673">
        <v>43373</v>
      </c>
      <c r="K34" s="919"/>
      <c r="N34"/>
      <c r="O34"/>
    </row>
    <row r="35" spans="1:17" ht="15" x14ac:dyDescent="0.25">
      <c r="A35" s="274" t="s">
        <v>7</v>
      </c>
      <c r="B35" s="290" t="s">
        <v>17</v>
      </c>
      <c r="C35" s="311" t="s">
        <v>582</v>
      </c>
      <c r="D35" s="275" t="str">
        <f ca="1">IFERROR(OFFSET(Camp_List[P_Code],MATCH(Data_Vulnerability_t[[#This Row],[Camp Name]],Camp_List[Camp Name],0)-1,0,1,1),"")</f>
        <v>MMR012CMP114</v>
      </c>
      <c r="E35" s="276" t="s">
        <v>1009</v>
      </c>
      <c r="F35" s="922">
        <v>181</v>
      </c>
      <c r="G35" s="922">
        <v>66</v>
      </c>
      <c r="H35" s="1076">
        <f>Data_Vulnerability_t[[#This Row],[Male]]+Data_Vulnerability_t[[#This Row],[Female]]</f>
        <v>247</v>
      </c>
      <c r="I35" s="271" t="s">
        <v>273</v>
      </c>
      <c r="J35" s="673">
        <v>43373</v>
      </c>
      <c r="K35" s="919"/>
      <c r="N35"/>
      <c r="O35"/>
    </row>
    <row r="36" spans="1:17" ht="15" x14ac:dyDescent="0.25">
      <c r="A36" s="274" t="s">
        <v>7</v>
      </c>
      <c r="B36" s="290" t="s">
        <v>17</v>
      </c>
      <c r="C36" s="311" t="s">
        <v>582</v>
      </c>
      <c r="D36" s="275" t="str">
        <f ca="1">IFERROR(OFFSET(Camp_List[P_Code],MATCH(Data_Vulnerability_t[[#This Row],[Camp Name]],Camp_List[Camp Name],0)-1,0,1,1),"")</f>
        <v>MMR012CMP114</v>
      </c>
      <c r="E36" s="276" t="s">
        <v>1010</v>
      </c>
      <c r="F36" s="922"/>
      <c r="G36" s="922">
        <v>90</v>
      </c>
      <c r="H36" s="1076">
        <f>Data_Vulnerability_t[[#This Row],[Male]]+Data_Vulnerability_t[[#This Row],[Female]]</f>
        <v>90</v>
      </c>
      <c r="I36" s="271" t="s">
        <v>273</v>
      </c>
      <c r="J36" s="673">
        <v>43373</v>
      </c>
      <c r="K36" s="919"/>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774</v>
      </c>
      <c r="F37" s="922"/>
      <c r="G37" s="922">
        <v>340</v>
      </c>
      <c r="H37" s="1076">
        <f>Data_Vulnerability_t[[#This Row],[Male]]+Data_Vulnerability_t[[#This Row],[Female]]</f>
        <v>340</v>
      </c>
      <c r="I37" s="271" t="s">
        <v>273</v>
      </c>
      <c r="J37" s="673">
        <v>43373</v>
      </c>
      <c r="K37" s="919"/>
      <c r="N37" s="645"/>
      <c r="O37" s="645"/>
    </row>
    <row r="38" spans="1:17" ht="15" x14ac:dyDescent="0.25">
      <c r="A38" s="274" t="s">
        <v>7</v>
      </c>
      <c r="B38" s="290" t="s">
        <v>17</v>
      </c>
      <c r="C38" s="275" t="s">
        <v>61</v>
      </c>
      <c r="D38" s="275" t="str">
        <f ca="1">IFERROR(OFFSET(Camp_List[P_Code],MATCH(Data_Vulnerability_t[[#This Row],[Camp Name]],Camp_List[Camp Name],0)-1,0,1,1),"")</f>
        <v>MMR012CMP041</v>
      </c>
      <c r="E38" s="276" t="s">
        <v>1003</v>
      </c>
      <c r="F38" s="922">
        <v>100</v>
      </c>
      <c r="G38" s="922">
        <v>135</v>
      </c>
      <c r="H38" s="1076">
        <f>Data_Vulnerability_t[[#This Row],[Male]]+Data_Vulnerability_t[[#This Row],[Female]]</f>
        <v>235</v>
      </c>
      <c r="I38" s="271" t="s">
        <v>273</v>
      </c>
      <c r="J38" s="673">
        <v>43373</v>
      </c>
      <c r="K38" s="919"/>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1004</v>
      </c>
      <c r="F39" s="922">
        <v>0</v>
      </c>
      <c r="G39" s="922">
        <v>0</v>
      </c>
      <c r="H39" s="1076">
        <f>Data_Vulnerability_t[[#This Row],[Male]]+Data_Vulnerability_t[[#This Row],[Female]]</f>
        <v>0</v>
      </c>
      <c r="I39" s="271" t="s">
        <v>273</v>
      </c>
      <c r="J39" s="673">
        <v>43373</v>
      </c>
      <c r="K39" s="919"/>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1005</v>
      </c>
      <c r="F40" s="922">
        <v>30</v>
      </c>
      <c r="G40" s="922">
        <v>33</v>
      </c>
      <c r="H40" s="1076">
        <f>Data_Vulnerability_t[[#This Row],[Male]]+Data_Vulnerability_t[[#This Row],[Female]]</f>
        <v>63</v>
      </c>
      <c r="I40" s="271" t="s">
        <v>273</v>
      </c>
      <c r="J40" s="673">
        <v>43373</v>
      </c>
      <c r="K40" s="919"/>
      <c r="M40" s="170" t="s">
        <v>203</v>
      </c>
      <c r="N40" s="172" t="s">
        <v>17</v>
      </c>
      <c r="O40" s="172" t="s">
        <v>13</v>
      </c>
      <c r="P40" s="173" t="s">
        <v>814</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1006</v>
      </c>
      <c r="F41" s="922">
        <v>0</v>
      </c>
      <c r="G41" s="922">
        <v>0</v>
      </c>
      <c r="H41" s="1076">
        <f>Data_Vulnerability_t[[#This Row],[Male]]+Data_Vulnerability_t[[#This Row],[Female]]</f>
        <v>0</v>
      </c>
      <c r="I41" s="271" t="s">
        <v>273</v>
      </c>
      <c r="J41" s="673">
        <v>43373</v>
      </c>
      <c r="K41" s="919"/>
      <c r="M41" s="536" t="s">
        <v>1010</v>
      </c>
      <c r="N41" s="534">
        <v>1283</v>
      </c>
      <c r="O41" s="534">
        <v>626</v>
      </c>
      <c r="P41" s="534">
        <v>24</v>
      </c>
      <c r="Q41" s="535">
        <v>1933</v>
      </c>
    </row>
    <row r="42" spans="1:17" ht="15" x14ac:dyDescent="0.25">
      <c r="A42" s="274" t="s">
        <v>7</v>
      </c>
      <c r="B42" s="290" t="s">
        <v>17</v>
      </c>
      <c r="C42" s="275" t="s">
        <v>61</v>
      </c>
      <c r="D42" s="275" t="str">
        <f ca="1">IFERROR(OFFSET(Camp_List[P_Code],MATCH(Data_Vulnerability_t[[#This Row],[Camp Name]],Camp_List[Camp Name],0)-1,0,1,1),"")</f>
        <v>MMR012CMP041</v>
      </c>
      <c r="E42" s="276" t="s">
        <v>1007</v>
      </c>
      <c r="F42" s="922">
        <v>0</v>
      </c>
      <c r="G42" s="922">
        <v>0</v>
      </c>
      <c r="H42" s="1076">
        <f>Data_Vulnerability_t[[#This Row],[Male]]+Data_Vulnerability_t[[#This Row],[Female]]</f>
        <v>0</v>
      </c>
      <c r="I42" s="271" t="s">
        <v>273</v>
      </c>
      <c r="J42" s="673">
        <v>43373</v>
      </c>
      <c r="K42" s="919"/>
      <c r="M42" s="944" t="s">
        <v>774</v>
      </c>
      <c r="N42" s="507">
        <v>4676</v>
      </c>
      <c r="O42" s="507">
        <v>1841</v>
      </c>
      <c r="P42" s="507">
        <v>122</v>
      </c>
      <c r="Q42" s="533">
        <v>6639</v>
      </c>
    </row>
    <row r="43" spans="1:17" ht="15" x14ac:dyDescent="0.25">
      <c r="A43" s="274" t="s">
        <v>7</v>
      </c>
      <c r="B43" s="290" t="s">
        <v>17</v>
      </c>
      <c r="C43" s="275" t="s">
        <v>61</v>
      </c>
      <c r="D43" s="275" t="str">
        <f ca="1">IFERROR(OFFSET(Camp_List[P_Code],MATCH(Data_Vulnerability_t[[#This Row],[Camp Name]],Camp_List[Camp Name],0)-1,0,1,1),"")</f>
        <v>MMR012CMP041</v>
      </c>
      <c r="E43" s="276" t="s">
        <v>1008</v>
      </c>
      <c r="F43" s="922">
        <v>140</v>
      </c>
      <c r="G43" s="922">
        <v>74</v>
      </c>
      <c r="H43" s="1076">
        <f>Data_Vulnerability_t[[#This Row],[Male]]+Data_Vulnerability_t[[#This Row],[Female]]</f>
        <v>214</v>
      </c>
      <c r="I43" s="271" t="s">
        <v>273</v>
      </c>
      <c r="J43" s="673">
        <v>43373</v>
      </c>
      <c r="K43" s="919"/>
      <c r="M43" s="944" t="s">
        <v>1003</v>
      </c>
      <c r="N43" s="507">
        <v>1246</v>
      </c>
      <c r="O43" s="507">
        <v>455</v>
      </c>
      <c r="P43" s="507">
        <v>40</v>
      </c>
      <c r="Q43" s="533">
        <v>1741</v>
      </c>
    </row>
    <row r="44" spans="1:17" ht="15" x14ac:dyDescent="0.25">
      <c r="A44" s="274" t="s">
        <v>7</v>
      </c>
      <c r="B44" s="290" t="s">
        <v>17</v>
      </c>
      <c r="C44" s="275" t="s">
        <v>61</v>
      </c>
      <c r="D44" s="275" t="str">
        <f ca="1">IFERROR(OFFSET(Camp_List[P_Code],MATCH(Data_Vulnerability_t[[#This Row],[Camp Name]],Camp_List[Camp Name],0)-1,0,1,1),"")</f>
        <v>MMR012CMP041</v>
      </c>
      <c r="E44" s="276" t="s">
        <v>1009</v>
      </c>
      <c r="F44" s="922">
        <v>0</v>
      </c>
      <c r="G44" s="922">
        <v>0</v>
      </c>
      <c r="H44" s="1076">
        <f>Data_Vulnerability_t[[#This Row],[Male]]+Data_Vulnerability_t[[#This Row],[Female]]</f>
        <v>0</v>
      </c>
      <c r="I44" s="271" t="s">
        <v>273</v>
      </c>
      <c r="J44" s="673">
        <v>43373</v>
      </c>
      <c r="K44" s="919"/>
      <c r="M44" s="944" t="s">
        <v>1004</v>
      </c>
      <c r="N44" s="507">
        <v>316</v>
      </c>
      <c r="O44" s="507">
        <v>39</v>
      </c>
      <c r="P44" s="507">
        <v>13</v>
      </c>
      <c r="Q44" s="533">
        <v>368</v>
      </c>
    </row>
    <row r="45" spans="1:17" ht="15" x14ac:dyDescent="0.25">
      <c r="A45" s="274" t="s">
        <v>7</v>
      </c>
      <c r="B45" s="290" t="s">
        <v>17</v>
      </c>
      <c r="C45" s="275" t="s">
        <v>61</v>
      </c>
      <c r="D45" s="275" t="str">
        <f ca="1">IFERROR(OFFSET(Camp_List[P_Code],MATCH(Data_Vulnerability_t[[#This Row],[Camp Name]],Camp_List[Camp Name],0)-1,0,1,1),"")</f>
        <v>MMR012CMP041</v>
      </c>
      <c r="E45" s="276" t="s">
        <v>1010</v>
      </c>
      <c r="F45" s="922"/>
      <c r="G45" s="922">
        <v>127</v>
      </c>
      <c r="H45" s="1076">
        <f>Data_Vulnerability_t[[#This Row],[Male]]+Data_Vulnerability_t[[#This Row],[Female]]</f>
        <v>127</v>
      </c>
      <c r="I45" s="271" t="s">
        <v>273</v>
      </c>
      <c r="J45" s="673">
        <v>43373</v>
      </c>
      <c r="K45" s="919"/>
      <c r="M45" s="944" t="s">
        <v>1005</v>
      </c>
      <c r="N45" s="507">
        <v>563</v>
      </c>
      <c r="O45" s="507">
        <v>157</v>
      </c>
      <c r="P45" s="507">
        <v>8</v>
      </c>
      <c r="Q45" s="533">
        <v>728</v>
      </c>
    </row>
    <row r="46" spans="1:17" ht="15" x14ac:dyDescent="0.25">
      <c r="A46" s="274" t="s">
        <v>7</v>
      </c>
      <c r="B46" s="290" t="s">
        <v>17</v>
      </c>
      <c r="C46" s="275" t="s">
        <v>61</v>
      </c>
      <c r="D46" s="323" t="str">
        <f ca="1">IFERROR(OFFSET(Camp_List[P_Code],MATCH(Data_Vulnerability_t[[#This Row],[Camp Name]],Camp_List[Camp Name],0)-1,0,1,1),"")</f>
        <v>MMR012CMP041</v>
      </c>
      <c r="E46" s="276" t="s">
        <v>774</v>
      </c>
      <c r="F46" s="922"/>
      <c r="G46" s="922">
        <v>406</v>
      </c>
      <c r="H46" s="1076">
        <f>Data_Vulnerability_t[[#This Row],[Male]]+Data_Vulnerability_t[[#This Row],[Female]]</f>
        <v>406</v>
      </c>
      <c r="I46" s="271" t="s">
        <v>273</v>
      </c>
      <c r="J46" s="673">
        <v>43373</v>
      </c>
      <c r="K46" s="919"/>
      <c r="M46" s="944" t="s">
        <v>1006</v>
      </c>
      <c r="N46" s="507">
        <v>73</v>
      </c>
      <c r="O46" s="507">
        <v>17</v>
      </c>
      <c r="P46" s="507">
        <v>0</v>
      </c>
      <c r="Q46" s="533">
        <v>90</v>
      </c>
    </row>
    <row r="47" spans="1:17" ht="15" x14ac:dyDescent="0.25">
      <c r="A47" s="274" t="s">
        <v>7</v>
      </c>
      <c r="B47" s="290" t="s">
        <v>17</v>
      </c>
      <c r="C47" s="275" t="s">
        <v>1054</v>
      </c>
      <c r="D47" s="275" t="str">
        <f ca="1">IFERROR(OFFSET(Camp_List[P_Code],MATCH(Data_Vulnerability_t[[#This Row],[Camp Name]],Camp_List[Camp Name],0)-1,0,1,1),"")</f>
        <v>MMR012CMP042</v>
      </c>
      <c r="E47" s="276" t="s">
        <v>1003</v>
      </c>
      <c r="F47" s="922">
        <v>15</v>
      </c>
      <c r="G47" s="922">
        <v>14</v>
      </c>
      <c r="H47" s="1076">
        <f>Data_Vulnerability_t[[#This Row],[Male]]+Data_Vulnerability_t[[#This Row],[Female]]</f>
        <v>29</v>
      </c>
      <c r="I47" s="271" t="s">
        <v>575</v>
      </c>
      <c r="J47" s="673">
        <v>43373</v>
      </c>
      <c r="K47" s="919"/>
      <c r="M47" s="944" t="s">
        <v>1007</v>
      </c>
      <c r="N47" s="507">
        <v>92</v>
      </c>
      <c r="O47" s="507">
        <v>22</v>
      </c>
      <c r="P47" s="507">
        <v>0</v>
      </c>
      <c r="Q47" s="533">
        <v>114</v>
      </c>
    </row>
    <row r="48" spans="1:17" ht="15" x14ac:dyDescent="0.25">
      <c r="A48" s="274" t="s">
        <v>7</v>
      </c>
      <c r="B48" s="290" t="s">
        <v>17</v>
      </c>
      <c r="C48" s="275" t="s">
        <v>1054</v>
      </c>
      <c r="D48" s="275" t="str">
        <f ca="1">IFERROR(OFFSET(Camp_List[P_Code],MATCH(Data_Vulnerability_t[[#This Row],[Camp Name]],Camp_List[Camp Name],0)-1,0,1,1),"")</f>
        <v>MMR012CMP042</v>
      </c>
      <c r="E48" s="276" t="s">
        <v>1004</v>
      </c>
      <c r="F48" s="922">
        <v>5</v>
      </c>
      <c r="G48" s="922">
        <v>4</v>
      </c>
      <c r="H48" s="1076">
        <f>Data_Vulnerability_t[[#This Row],[Male]]+Data_Vulnerability_t[[#This Row],[Female]]</f>
        <v>9</v>
      </c>
      <c r="I48" s="271" t="s">
        <v>575</v>
      </c>
      <c r="J48" s="673">
        <v>43373</v>
      </c>
      <c r="K48" s="919"/>
      <c r="M48" s="944" t="s">
        <v>1008</v>
      </c>
      <c r="N48" s="507">
        <v>1574</v>
      </c>
      <c r="O48" s="507">
        <v>248</v>
      </c>
      <c r="P48" s="507"/>
      <c r="Q48" s="533">
        <v>1822</v>
      </c>
    </row>
    <row r="49" spans="1:17" ht="15" x14ac:dyDescent="0.25">
      <c r="A49" s="274" t="s">
        <v>7</v>
      </c>
      <c r="B49" s="290" t="s">
        <v>17</v>
      </c>
      <c r="C49" s="275" t="s">
        <v>1054</v>
      </c>
      <c r="D49" s="275" t="str">
        <f ca="1">IFERROR(OFFSET(Camp_List[P_Code],MATCH(Data_Vulnerability_t[[#This Row],[Camp Name]],Camp_List[Camp Name],0)-1,0,1,1),"")</f>
        <v>MMR012CMP042</v>
      </c>
      <c r="E49" s="276" t="s">
        <v>1005</v>
      </c>
      <c r="F49" s="922">
        <v>2</v>
      </c>
      <c r="G49" s="922">
        <v>8</v>
      </c>
      <c r="H49" s="1076">
        <f>Data_Vulnerability_t[[#This Row],[Male]]+Data_Vulnerability_t[[#This Row],[Female]]</f>
        <v>10</v>
      </c>
      <c r="I49" s="271" t="s">
        <v>575</v>
      </c>
      <c r="J49" s="673">
        <v>43373</v>
      </c>
      <c r="K49" s="919"/>
      <c r="M49" s="944" t="s">
        <v>1009</v>
      </c>
      <c r="N49" s="507">
        <v>932</v>
      </c>
      <c r="O49" s="507">
        <v>405</v>
      </c>
      <c r="P49" s="507">
        <v>145</v>
      </c>
      <c r="Q49" s="533">
        <v>1482</v>
      </c>
    </row>
    <row r="50" spans="1:17" ht="15" x14ac:dyDescent="0.25">
      <c r="A50" s="274" t="s">
        <v>7</v>
      </c>
      <c r="B50" s="290" t="s">
        <v>17</v>
      </c>
      <c r="C50" s="275" t="s">
        <v>1054</v>
      </c>
      <c r="D50" s="275" t="str">
        <f ca="1">IFERROR(OFFSET(Camp_List[P_Code],MATCH(Data_Vulnerability_t[[#This Row],[Camp Name]],Camp_List[Camp Name],0)-1,0,1,1),"")</f>
        <v>MMR012CMP042</v>
      </c>
      <c r="E50" s="276" t="s">
        <v>1006</v>
      </c>
      <c r="F50" s="922">
        <v>0</v>
      </c>
      <c r="G50" s="922">
        <v>0</v>
      </c>
      <c r="H50" s="1076">
        <f>Data_Vulnerability_t[[#This Row],[Male]]+Data_Vulnerability_t[[#This Row],[Female]]</f>
        <v>0</v>
      </c>
      <c r="I50" s="271" t="s">
        <v>575</v>
      </c>
      <c r="J50" s="673">
        <v>43373</v>
      </c>
      <c r="K50" s="919"/>
      <c r="M50" s="945" t="s">
        <v>1143</v>
      </c>
      <c r="N50" s="405"/>
      <c r="O50" s="405"/>
      <c r="P50" s="405">
        <v>1</v>
      </c>
      <c r="Q50" s="246">
        <v>1</v>
      </c>
    </row>
    <row r="51" spans="1:17" ht="15" x14ac:dyDescent="0.25">
      <c r="A51" s="274" t="s">
        <v>7</v>
      </c>
      <c r="B51" s="290" t="s">
        <v>17</v>
      </c>
      <c r="C51" s="275" t="s">
        <v>1054</v>
      </c>
      <c r="D51" s="275" t="str">
        <f ca="1">IFERROR(OFFSET(Camp_List[P_Code],MATCH(Data_Vulnerability_t[[#This Row],[Camp Name]],Camp_List[Camp Name],0)-1,0,1,1),"")</f>
        <v>MMR012CMP042</v>
      </c>
      <c r="E51" s="276" t="s">
        <v>1007</v>
      </c>
      <c r="F51" s="922">
        <v>0</v>
      </c>
      <c r="G51" s="922">
        <v>0</v>
      </c>
      <c r="H51" s="1076">
        <f>Data_Vulnerability_t[[#This Row],[Male]]+Data_Vulnerability_t[[#This Row],[Female]]</f>
        <v>0</v>
      </c>
      <c r="I51" s="271" t="s">
        <v>575</v>
      </c>
      <c r="J51" s="673">
        <v>43373</v>
      </c>
      <c r="K51" s="919"/>
      <c r="M51" s="945" t="s">
        <v>204</v>
      </c>
      <c r="N51" s="467">
        <v>10755</v>
      </c>
      <c r="O51" s="405">
        <v>3810</v>
      </c>
      <c r="P51" s="405">
        <v>353</v>
      </c>
      <c r="Q51" s="246">
        <v>14918</v>
      </c>
    </row>
    <row r="52" spans="1:17" x14ac:dyDescent="0.2">
      <c r="A52" s="274" t="s">
        <v>7</v>
      </c>
      <c r="B52" s="290" t="s">
        <v>17</v>
      </c>
      <c r="C52" s="275" t="s">
        <v>1054</v>
      </c>
      <c r="D52" s="275" t="str">
        <f ca="1">IFERROR(OFFSET(Camp_List[P_Code],MATCH(Data_Vulnerability_t[[#This Row],[Camp Name]],Camp_List[Camp Name],0)-1,0,1,1),"")</f>
        <v>MMR012CMP042</v>
      </c>
      <c r="E52" s="276" t="s">
        <v>1008</v>
      </c>
      <c r="F52" s="922">
        <v>24</v>
      </c>
      <c r="G52" s="922">
        <v>29</v>
      </c>
      <c r="H52" s="1076">
        <f>Data_Vulnerability_t[[#This Row],[Male]]+Data_Vulnerability_t[[#This Row],[Female]]</f>
        <v>53</v>
      </c>
      <c r="I52" s="271" t="s">
        <v>575</v>
      </c>
      <c r="J52" s="673">
        <v>43373</v>
      </c>
      <c r="K52" s="919"/>
    </row>
    <row r="53" spans="1:17" x14ac:dyDescent="0.2">
      <c r="A53" s="274" t="s">
        <v>7</v>
      </c>
      <c r="B53" s="290" t="s">
        <v>17</v>
      </c>
      <c r="C53" s="275" t="s">
        <v>1054</v>
      </c>
      <c r="D53" s="275" t="str">
        <f ca="1">IFERROR(OFFSET(Camp_List[P_Code],MATCH(Data_Vulnerability_t[[#This Row],[Camp Name]],Camp_List[Camp Name],0)-1,0,1,1),"")</f>
        <v>MMR012CMP042</v>
      </c>
      <c r="E53" s="276" t="s">
        <v>1009</v>
      </c>
      <c r="F53" s="922">
        <v>1</v>
      </c>
      <c r="G53" s="922">
        <v>67</v>
      </c>
      <c r="H53" s="1076">
        <f>Data_Vulnerability_t[[#This Row],[Male]]+Data_Vulnerability_t[[#This Row],[Female]]</f>
        <v>68</v>
      </c>
      <c r="I53" s="271" t="s">
        <v>575</v>
      </c>
      <c r="J53" s="673">
        <v>43373</v>
      </c>
      <c r="K53" s="919"/>
    </row>
    <row r="54" spans="1:17" x14ac:dyDescent="0.2">
      <c r="A54" s="274" t="s">
        <v>7</v>
      </c>
      <c r="B54" s="290" t="s">
        <v>17</v>
      </c>
      <c r="C54" s="275" t="s">
        <v>1054</v>
      </c>
      <c r="D54" s="275" t="str">
        <f ca="1">IFERROR(OFFSET(Camp_List[P_Code],MATCH(Data_Vulnerability_t[[#This Row],[Camp Name]],Camp_List[Camp Name],0)-1,0,1,1),"")</f>
        <v>MMR012CMP042</v>
      </c>
      <c r="E54" s="276" t="s">
        <v>1010</v>
      </c>
      <c r="F54" s="922"/>
      <c r="G54" s="922">
        <v>42</v>
      </c>
      <c r="H54" s="1076">
        <f>Data_Vulnerability_t[[#This Row],[Male]]+Data_Vulnerability_t[[#This Row],[Female]]</f>
        <v>42</v>
      </c>
      <c r="I54" s="271" t="s">
        <v>575</v>
      </c>
      <c r="J54" s="673">
        <v>43373</v>
      </c>
      <c r="K54" s="919"/>
    </row>
    <row r="55" spans="1:17" x14ac:dyDescent="0.2">
      <c r="A55" s="274" t="s">
        <v>7</v>
      </c>
      <c r="B55" s="290" t="s">
        <v>17</v>
      </c>
      <c r="C55" s="275" t="s">
        <v>1054</v>
      </c>
      <c r="D55" s="323" t="str">
        <f ca="1">IFERROR(OFFSET(Camp_List[P_Code],MATCH(Data_Vulnerability_t[[#This Row],[Camp Name]],Camp_List[Camp Name],0)-1,0,1,1),"")</f>
        <v>MMR012CMP042</v>
      </c>
      <c r="E55" s="276" t="s">
        <v>774</v>
      </c>
      <c r="F55" s="922"/>
      <c r="G55" s="922">
        <v>148</v>
      </c>
      <c r="H55" s="1076">
        <f>Data_Vulnerability_t[[#This Row],[Male]]+Data_Vulnerability_t[[#This Row],[Female]]</f>
        <v>148</v>
      </c>
      <c r="I55" s="271" t="s">
        <v>575</v>
      </c>
      <c r="J55" s="673">
        <v>43373</v>
      </c>
      <c r="K55" s="919"/>
    </row>
    <row r="56" spans="1:17" ht="16.5" customHeight="1" x14ac:dyDescent="0.2">
      <c r="A56" s="274" t="s">
        <v>7</v>
      </c>
      <c r="B56" s="290" t="s">
        <v>17</v>
      </c>
      <c r="C56" s="275" t="s">
        <v>1055</v>
      </c>
      <c r="D56" s="323" t="str">
        <f ca="1">IFERROR(OFFSET(Camp_List[P_Code],MATCH(Data_Vulnerability_t[[#This Row],[Camp Name]],Camp_List[Camp Name],0)-1,0,1,1),"")</f>
        <v>MMR012CMP042</v>
      </c>
      <c r="E56" s="276" t="s">
        <v>1003</v>
      </c>
      <c r="F56" s="923">
        <v>31</v>
      </c>
      <c r="G56" s="1096">
        <v>40</v>
      </c>
      <c r="H56" s="1076">
        <f>Data_Vulnerability_t[[#This Row],[Male]]+Data_Vulnerability_t[[#This Row],[Female]]</f>
        <v>71</v>
      </c>
      <c r="I56" s="271" t="s">
        <v>575</v>
      </c>
      <c r="J56" s="673">
        <v>43373</v>
      </c>
      <c r="K56" s="919"/>
    </row>
    <row r="57" spans="1:17" ht="16.5" customHeight="1" x14ac:dyDescent="0.2">
      <c r="A57" s="274" t="s">
        <v>7</v>
      </c>
      <c r="B57" s="290" t="s">
        <v>17</v>
      </c>
      <c r="C57" s="275" t="s">
        <v>1055</v>
      </c>
      <c r="D57" s="323" t="str">
        <f ca="1">IFERROR(OFFSET(Camp_List[P_Code],MATCH(Data_Vulnerability_t[[#This Row],[Camp Name]],Camp_List[Camp Name],0)-1,0,1,1),"")</f>
        <v>MMR012CMP042</v>
      </c>
      <c r="E57" s="276" t="s">
        <v>1004</v>
      </c>
      <c r="F57" s="923">
        <v>3</v>
      </c>
      <c r="G57" s="1096">
        <v>10</v>
      </c>
      <c r="H57" s="1076">
        <f>Data_Vulnerability_t[[#This Row],[Male]]+Data_Vulnerability_t[[#This Row],[Female]]</f>
        <v>13</v>
      </c>
      <c r="I57" s="271" t="s">
        <v>575</v>
      </c>
      <c r="J57" s="673">
        <v>43373</v>
      </c>
      <c r="K57" s="919"/>
    </row>
    <row r="58" spans="1:17" ht="15.75" customHeight="1" x14ac:dyDescent="0.2">
      <c r="A58" s="274" t="s">
        <v>7</v>
      </c>
      <c r="B58" s="290" t="s">
        <v>17</v>
      </c>
      <c r="C58" s="275" t="s">
        <v>1055</v>
      </c>
      <c r="D58" s="323" t="str">
        <f ca="1">IFERROR(OFFSET(Camp_List[P_Code],MATCH(Data_Vulnerability_t[[#This Row],[Camp Name]],Camp_List[Camp Name],0)-1,0,1,1),"")</f>
        <v>MMR012CMP042</v>
      </c>
      <c r="E58" s="276" t="s">
        <v>1005</v>
      </c>
      <c r="F58" s="923">
        <v>0</v>
      </c>
      <c r="G58" s="1096">
        <v>0</v>
      </c>
      <c r="H58" s="1076">
        <f>Data_Vulnerability_t[[#This Row],[Male]]+Data_Vulnerability_t[[#This Row],[Female]]</f>
        <v>0</v>
      </c>
      <c r="I58" s="271" t="s">
        <v>575</v>
      </c>
      <c r="J58" s="673">
        <v>43373</v>
      </c>
      <c r="K58" s="919"/>
    </row>
    <row r="59" spans="1:17" ht="16.5" customHeight="1" x14ac:dyDescent="0.2">
      <c r="A59" s="274" t="s">
        <v>7</v>
      </c>
      <c r="B59" s="290" t="s">
        <v>17</v>
      </c>
      <c r="C59" s="275" t="s">
        <v>1055</v>
      </c>
      <c r="D59" s="323" t="str">
        <f ca="1">IFERROR(OFFSET(Camp_List[P_Code],MATCH(Data_Vulnerability_t[[#This Row],[Camp Name]],Camp_List[Camp Name],0)-1,0,1,1),"")</f>
        <v>MMR012CMP042</v>
      </c>
      <c r="E59" s="276" t="s">
        <v>1006</v>
      </c>
      <c r="F59" s="923">
        <v>0</v>
      </c>
      <c r="G59" s="1096">
        <v>0</v>
      </c>
      <c r="H59" s="1076">
        <f>Data_Vulnerability_t[[#This Row],[Male]]+Data_Vulnerability_t[[#This Row],[Female]]</f>
        <v>0</v>
      </c>
      <c r="I59" s="271" t="s">
        <v>575</v>
      </c>
      <c r="J59" s="673">
        <v>43373</v>
      </c>
      <c r="K59" s="919"/>
    </row>
    <row r="60" spans="1:17" x14ac:dyDescent="0.2">
      <c r="A60" s="274" t="s">
        <v>7</v>
      </c>
      <c r="B60" s="290" t="s">
        <v>17</v>
      </c>
      <c r="C60" s="275" t="s">
        <v>1055</v>
      </c>
      <c r="D60" s="323" t="str">
        <f ca="1">IFERROR(OFFSET(Camp_List[P_Code],MATCH(Data_Vulnerability_t[[#This Row],[Camp Name]],Camp_List[Camp Name],0)-1,0,1,1),"")</f>
        <v>MMR012CMP042</v>
      </c>
      <c r="E60" s="276" t="s">
        <v>1007</v>
      </c>
      <c r="F60" s="923">
        <v>0</v>
      </c>
      <c r="G60" s="1096">
        <v>0</v>
      </c>
      <c r="H60" s="1076">
        <f>Data_Vulnerability_t[[#This Row],[Male]]+Data_Vulnerability_t[[#This Row],[Female]]</f>
        <v>0</v>
      </c>
      <c r="I60" s="271" t="s">
        <v>575</v>
      </c>
      <c r="J60" s="673">
        <v>43373</v>
      </c>
      <c r="K60" s="919"/>
    </row>
    <row r="61" spans="1:17" ht="18.75" customHeight="1" x14ac:dyDescent="0.2">
      <c r="A61" s="274" t="s">
        <v>7</v>
      </c>
      <c r="B61" s="290" t="s">
        <v>17</v>
      </c>
      <c r="C61" s="275" t="s">
        <v>1055</v>
      </c>
      <c r="D61" s="323" t="str">
        <f ca="1">IFERROR(OFFSET(Camp_List[P_Code],MATCH(Data_Vulnerability_t[[#This Row],[Camp Name]],Camp_List[Camp Name],0)-1,0,1,1),"")</f>
        <v>MMR012CMP042</v>
      </c>
      <c r="E61" s="276" t="s">
        <v>1008</v>
      </c>
      <c r="F61" s="923">
        <v>34</v>
      </c>
      <c r="G61" s="1096">
        <v>29</v>
      </c>
      <c r="H61" s="1076">
        <f>Data_Vulnerability_t[[#This Row],[Male]]+Data_Vulnerability_t[[#This Row],[Female]]</f>
        <v>63</v>
      </c>
      <c r="I61" s="271" t="s">
        <v>575</v>
      </c>
      <c r="J61" s="673">
        <v>43373</v>
      </c>
      <c r="K61" s="919"/>
    </row>
    <row r="62" spans="1:17" ht="18.75" customHeight="1" x14ac:dyDescent="0.2">
      <c r="A62" s="274" t="s">
        <v>7</v>
      </c>
      <c r="B62" s="290" t="s">
        <v>17</v>
      </c>
      <c r="C62" s="275" t="s">
        <v>1055</v>
      </c>
      <c r="D62" s="323" t="str">
        <f ca="1">IFERROR(OFFSET(Camp_List[P_Code],MATCH(Data_Vulnerability_t[[#This Row],[Camp Name]],Camp_List[Camp Name],0)-1,0,1,1),"")</f>
        <v>MMR012CMP042</v>
      </c>
      <c r="E62" s="276" t="s">
        <v>1009</v>
      </c>
      <c r="F62" s="923">
        <v>0</v>
      </c>
      <c r="G62" s="1096">
        <v>59</v>
      </c>
      <c r="H62" s="1076">
        <f>Data_Vulnerability_t[[#This Row],[Male]]+Data_Vulnerability_t[[#This Row],[Female]]</f>
        <v>59</v>
      </c>
      <c r="I62" s="271" t="s">
        <v>575</v>
      </c>
      <c r="J62" s="673">
        <v>43373</v>
      </c>
      <c r="K62" s="919"/>
    </row>
    <row r="63" spans="1:17" ht="16.5" customHeight="1" x14ac:dyDescent="0.2">
      <c r="A63" s="274" t="s">
        <v>7</v>
      </c>
      <c r="B63" s="290" t="s">
        <v>17</v>
      </c>
      <c r="C63" s="275" t="s">
        <v>1055</v>
      </c>
      <c r="D63" s="323" t="str">
        <f ca="1">IFERROR(OFFSET(Camp_List[P_Code],MATCH(Data_Vulnerability_t[[#This Row],[Camp Name]],Camp_List[Camp Name],0)-1,0,1,1),"")</f>
        <v>MMR012CMP042</v>
      </c>
      <c r="E63" s="276" t="s">
        <v>1010</v>
      </c>
      <c r="F63" s="923"/>
      <c r="G63" s="1096">
        <v>31</v>
      </c>
      <c r="H63" s="1076">
        <f>Data_Vulnerability_t[[#This Row],[Male]]+Data_Vulnerability_t[[#This Row],[Female]]</f>
        <v>31</v>
      </c>
      <c r="I63" s="271" t="s">
        <v>575</v>
      </c>
      <c r="J63" s="673">
        <v>43373</v>
      </c>
      <c r="K63" s="919"/>
    </row>
    <row r="64" spans="1:17" ht="16.5" customHeight="1" x14ac:dyDescent="0.2">
      <c r="A64" s="274" t="s">
        <v>7</v>
      </c>
      <c r="B64" s="290" t="s">
        <v>17</v>
      </c>
      <c r="C64" s="275" t="s">
        <v>1055</v>
      </c>
      <c r="D64" s="323" t="str">
        <f ca="1">IFERROR(OFFSET(Camp_List[P_Code],MATCH(Data_Vulnerability_t[[#This Row],[Camp Name]],Camp_List[Camp Name],0)-1,0,1,1),"")</f>
        <v>MMR012CMP042</v>
      </c>
      <c r="E64" s="276" t="s">
        <v>774</v>
      </c>
      <c r="F64" s="923"/>
      <c r="G64" s="1096">
        <v>96</v>
      </c>
      <c r="H64" s="1076">
        <f>Data_Vulnerability_t[[#This Row],[Male]]+Data_Vulnerability_t[[#This Row],[Female]]</f>
        <v>96</v>
      </c>
      <c r="I64" s="271" t="s">
        <v>575</v>
      </c>
      <c r="J64" s="673">
        <v>43373</v>
      </c>
      <c r="K64" s="919"/>
    </row>
    <row r="65" spans="1:15" x14ac:dyDescent="0.2">
      <c r="A65" s="274" t="s">
        <v>7</v>
      </c>
      <c r="B65" s="290" t="s">
        <v>13</v>
      </c>
      <c r="C65" s="275" t="s">
        <v>40</v>
      </c>
      <c r="D65" s="275" t="str">
        <f ca="1">IFERROR(OFFSET(Camp_List[P_Code],MATCH(Data_Vulnerability_t[[#This Row],[Camp Name]],Camp_List[Camp Name],0)-1,0,1,1),"")</f>
        <v>MMR012CMP018</v>
      </c>
      <c r="E65" s="276" t="s">
        <v>1003</v>
      </c>
      <c r="F65" s="922">
        <v>94</v>
      </c>
      <c r="G65" s="922">
        <v>97</v>
      </c>
      <c r="H65" s="1076">
        <f>Data_Vulnerability_t[[#This Row],[Male]]+Data_Vulnerability_t[[#This Row],[Female]]</f>
        <v>191</v>
      </c>
      <c r="I65" s="271" t="s">
        <v>273</v>
      </c>
      <c r="J65" s="673">
        <v>43373</v>
      </c>
      <c r="K65" s="919"/>
    </row>
    <row r="66" spans="1:15" x14ac:dyDescent="0.2">
      <c r="A66" s="274" t="s">
        <v>7</v>
      </c>
      <c r="B66" s="290" t="s">
        <v>13</v>
      </c>
      <c r="C66" s="275" t="s">
        <v>40</v>
      </c>
      <c r="D66" s="275" t="str">
        <f ca="1">IFERROR(OFFSET(Camp_List[P_Code],MATCH(Data_Vulnerability_t[[#This Row],[Camp Name]],Camp_List[Camp Name],0)-1,0,1,1),"")</f>
        <v>MMR012CMP018</v>
      </c>
      <c r="E66" s="276" t="s">
        <v>1004</v>
      </c>
      <c r="F66" s="922"/>
      <c r="G66" s="922">
        <v>0</v>
      </c>
      <c r="H66" s="1076">
        <f>Data_Vulnerability_t[[#This Row],[Male]]+Data_Vulnerability_t[[#This Row],[Female]]</f>
        <v>0</v>
      </c>
      <c r="I66" s="271" t="s">
        <v>273</v>
      </c>
      <c r="J66" s="673">
        <v>43373</v>
      </c>
      <c r="K66" s="919"/>
    </row>
    <row r="67" spans="1:15" x14ac:dyDescent="0.2">
      <c r="A67" s="274" t="s">
        <v>7</v>
      </c>
      <c r="B67" s="290" t="s">
        <v>13</v>
      </c>
      <c r="C67" s="275" t="s">
        <v>40</v>
      </c>
      <c r="D67" s="275" t="str">
        <f ca="1">IFERROR(OFFSET(Camp_List[P_Code],MATCH(Data_Vulnerability_t[[#This Row],[Camp Name]],Camp_List[Camp Name],0)-1,0,1,1),"")</f>
        <v>MMR012CMP018</v>
      </c>
      <c r="E67" s="276" t="s">
        <v>1005</v>
      </c>
      <c r="F67" s="922">
        <v>14</v>
      </c>
      <c r="G67" s="922">
        <v>14</v>
      </c>
      <c r="H67" s="1076">
        <f>Data_Vulnerability_t[[#This Row],[Male]]+Data_Vulnerability_t[[#This Row],[Female]]</f>
        <v>28</v>
      </c>
      <c r="I67" s="271" t="s">
        <v>273</v>
      </c>
      <c r="J67" s="673">
        <v>43373</v>
      </c>
      <c r="K67" s="919"/>
    </row>
    <row r="68" spans="1:15" x14ac:dyDescent="0.2">
      <c r="A68" s="274" t="s">
        <v>7</v>
      </c>
      <c r="B68" s="290" t="s">
        <v>13</v>
      </c>
      <c r="C68" s="275" t="s">
        <v>40</v>
      </c>
      <c r="D68" s="275" t="str">
        <f ca="1">IFERROR(OFFSET(Camp_List[P_Code],MATCH(Data_Vulnerability_t[[#This Row],[Camp Name]],Camp_List[Camp Name],0)-1,0,1,1),"")</f>
        <v>MMR012CMP018</v>
      </c>
      <c r="E68" s="276" t="s">
        <v>1006</v>
      </c>
      <c r="F68" s="922"/>
      <c r="G68" s="922"/>
      <c r="H68" s="1076">
        <f>Data_Vulnerability_t[[#This Row],[Male]]+Data_Vulnerability_t[[#This Row],[Female]]</f>
        <v>0</v>
      </c>
      <c r="I68" s="271" t="s">
        <v>273</v>
      </c>
      <c r="J68" s="673">
        <v>43373</v>
      </c>
      <c r="K68" s="919"/>
    </row>
    <row r="69" spans="1:15" x14ac:dyDescent="0.2">
      <c r="A69" s="274" t="s">
        <v>7</v>
      </c>
      <c r="B69" s="290" t="s">
        <v>13</v>
      </c>
      <c r="C69" s="275" t="s">
        <v>40</v>
      </c>
      <c r="D69" s="275" t="str">
        <f ca="1">IFERROR(OFFSET(Camp_List[P_Code],MATCH(Data_Vulnerability_t[[#This Row],[Camp Name]],Camp_List[Camp Name],0)-1,0,1,1),"")</f>
        <v>MMR012CMP018</v>
      </c>
      <c r="E69" s="276" t="s">
        <v>1007</v>
      </c>
      <c r="F69" s="922"/>
      <c r="G69" s="922"/>
      <c r="H69" s="1076">
        <f>Data_Vulnerability_t[[#This Row],[Male]]+Data_Vulnerability_t[[#This Row],[Female]]</f>
        <v>0</v>
      </c>
      <c r="I69" s="271" t="s">
        <v>273</v>
      </c>
      <c r="J69" s="673">
        <v>43373</v>
      </c>
      <c r="K69" s="919"/>
    </row>
    <row r="70" spans="1:15" x14ac:dyDescent="0.2">
      <c r="A70" s="274" t="s">
        <v>7</v>
      </c>
      <c r="B70" s="290" t="s">
        <v>13</v>
      </c>
      <c r="C70" s="275" t="s">
        <v>40</v>
      </c>
      <c r="D70" s="275" t="str">
        <f ca="1">IFERROR(OFFSET(Camp_List[P_Code],MATCH(Data_Vulnerability_t[[#This Row],[Camp Name]],Camp_List[Camp Name],0)-1,0,1,1),"")</f>
        <v>MMR012CMP018</v>
      </c>
      <c r="E70" s="276" t="s">
        <v>1008</v>
      </c>
      <c r="F70" s="922">
        <v>21</v>
      </c>
      <c r="G70" s="922">
        <v>4</v>
      </c>
      <c r="H70" s="1076">
        <f>Data_Vulnerability_t[[#This Row],[Male]]+Data_Vulnerability_t[[#This Row],[Female]]</f>
        <v>25</v>
      </c>
      <c r="I70" s="271" t="s">
        <v>273</v>
      </c>
      <c r="J70" s="673">
        <v>43373</v>
      </c>
      <c r="K70" s="919"/>
    </row>
    <row r="71" spans="1:15" x14ac:dyDescent="0.2">
      <c r="A71" s="274" t="s">
        <v>7</v>
      </c>
      <c r="B71" s="290" t="s">
        <v>13</v>
      </c>
      <c r="C71" s="275" t="s">
        <v>40</v>
      </c>
      <c r="D71" s="275" t="str">
        <f ca="1">IFERROR(OFFSET(Camp_List[P_Code],MATCH(Data_Vulnerability_t[[#This Row],[Camp Name]],Camp_List[Camp Name],0)-1,0,1,1),"")</f>
        <v>MMR012CMP018</v>
      </c>
      <c r="E71" s="276" t="s">
        <v>1009</v>
      </c>
      <c r="F71" s="922"/>
      <c r="G71" s="922"/>
      <c r="H71" s="1076">
        <f>Data_Vulnerability_t[[#This Row],[Male]]+Data_Vulnerability_t[[#This Row],[Female]]</f>
        <v>0</v>
      </c>
      <c r="I71" s="271" t="s">
        <v>273</v>
      </c>
      <c r="J71" s="673">
        <v>43373</v>
      </c>
      <c r="K71" s="919"/>
    </row>
    <row r="72" spans="1:15" x14ac:dyDescent="0.2">
      <c r="A72" s="274" t="s">
        <v>7</v>
      </c>
      <c r="B72" s="290" t="s">
        <v>13</v>
      </c>
      <c r="C72" s="275" t="s">
        <v>40</v>
      </c>
      <c r="D72" s="275" t="str">
        <f ca="1">IFERROR(OFFSET(Camp_List[P_Code],MATCH(Data_Vulnerability_t[[#This Row],[Camp Name]],Camp_List[Camp Name],0)-1,0,1,1),"")</f>
        <v>MMR012CMP018</v>
      </c>
      <c r="E72" s="276" t="s">
        <v>1010</v>
      </c>
      <c r="F72" s="922"/>
      <c r="G72" s="922">
        <v>192</v>
      </c>
      <c r="H72" s="1076">
        <f>Data_Vulnerability_t[[#This Row],[Male]]+Data_Vulnerability_t[[#This Row],[Female]]</f>
        <v>192</v>
      </c>
      <c r="I72" s="271" t="s">
        <v>273</v>
      </c>
      <c r="J72" s="673">
        <v>43373</v>
      </c>
      <c r="K72" s="919"/>
    </row>
    <row r="73" spans="1:15" ht="15" x14ac:dyDescent="0.25">
      <c r="A73" s="274" t="s">
        <v>7</v>
      </c>
      <c r="B73" s="290" t="s">
        <v>13</v>
      </c>
      <c r="C73" s="275" t="s">
        <v>40</v>
      </c>
      <c r="D73" s="323" t="str">
        <f ca="1">IFERROR(OFFSET(Camp_List[P_Code],MATCH(Data_Vulnerability_t[[#This Row],[Camp Name]],Camp_List[Camp Name],0)-1,0,1,1),"")</f>
        <v>MMR012CMP018</v>
      </c>
      <c r="E73" s="276" t="s">
        <v>774</v>
      </c>
      <c r="F73" s="922"/>
      <c r="G73" s="922">
        <v>583</v>
      </c>
      <c r="H73" s="1076">
        <f>Data_Vulnerability_t[[#This Row],[Male]]+Data_Vulnerability_t[[#This Row],[Female]]</f>
        <v>583</v>
      </c>
      <c r="I73" s="271" t="s">
        <v>273</v>
      </c>
      <c r="J73" s="673">
        <v>43373</v>
      </c>
      <c r="K73" s="919"/>
      <c r="N73" s="645"/>
      <c r="O73" s="645"/>
    </row>
    <row r="74" spans="1:15" ht="15" x14ac:dyDescent="0.25">
      <c r="A74" s="274" t="s">
        <v>7</v>
      </c>
      <c r="B74" s="290" t="s">
        <v>17</v>
      </c>
      <c r="C74" s="275" t="s">
        <v>580</v>
      </c>
      <c r="D74" s="275" t="str">
        <f ca="1">IFERROR(OFFSET(Camp_List[P_Code],MATCH(Data_Vulnerability_t[[#This Row],[Camp Name]],Camp_List[Camp Name],0)-1,0,1,1),"")</f>
        <v>MMR012CMP092</v>
      </c>
      <c r="E74" s="276" t="s">
        <v>1003</v>
      </c>
      <c r="F74" s="922">
        <v>14</v>
      </c>
      <c r="G74" s="922">
        <v>19</v>
      </c>
      <c r="H74" s="1076">
        <f>Data_Vulnerability_t[[#This Row],[Male]]+Data_Vulnerability_t[[#This Row],[Female]]</f>
        <v>33</v>
      </c>
      <c r="I74" s="271" t="s">
        <v>904</v>
      </c>
      <c r="J74" s="673">
        <v>43404</v>
      </c>
      <c r="K74" s="919"/>
      <c r="N74"/>
      <c r="O74"/>
    </row>
    <row r="75" spans="1:15" ht="15" x14ac:dyDescent="0.25">
      <c r="A75" s="274" t="s">
        <v>7</v>
      </c>
      <c r="B75" s="290" t="s">
        <v>17</v>
      </c>
      <c r="C75" s="271" t="s">
        <v>580</v>
      </c>
      <c r="D75" s="275" t="str">
        <f ca="1">IFERROR(OFFSET(Camp_List[P_Code],MATCH(Data_Vulnerability_t[[#This Row],[Camp Name]],Camp_List[Camp Name],0)-1,0,1,1),"")</f>
        <v>MMR012CMP092</v>
      </c>
      <c r="E75" s="276" t="s">
        <v>1004</v>
      </c>
      <c r="F75" s="922">
        <v>9</v>
      </c>
      <c r="G75" s="922">
        <v>7</v>
      </c>
      <c r="H75" s="1076">
        <f>Data_Vulnerability_t[[#This Row],[Male]]+Data_Vulnerability_t[[#This Row],[Female]]</f>
        <v>16</v>
      </c>
      <c r="I75" s="271" t="s">
        <v>904</v>
      </c>
      <c r="J75" s="673">
        <v>43404</v>
      </c>
      <c r="K75" s="919"/>
      <c r="N75"/>
      <c r="O75"/>
    </row>
    <row r="76" spans="1:15" ht="15" x14ac:dyDescent="0.25">
      <c r="A76" s="274" t="s">
        <v>7</v>
      </c>
      <c r="B76" s="290" t="s">
        <v>17</v>
      </c>
      <c r="C76" s="271" t="s">
        <v>580</v>
      </c>
      <c r="D76" s="275" t="str">
        <f ca="1">IFERROR(OFFSET(Camp_List[P_Code],MATCH(Data_Vulnerability_t[[#This Row],[Camp Name]],Camp_List[Camp Name],0)-1,0,1,1),"")</f>
        <v>MMR012CMP092</v>
      </c>
      <c r="E76" s="276" t="s">
        <v>1005</v>
      </c>
      <c r="F76" s="922">
        <v>12</v>
      </c>
      <c r="G76" s="922">
        <v>16</v>
      </c>
      <c r="H76" s="1076">
        <f>Data_Vulnerability_t[[#This Row],[Male]]+Data_Vulnerability_t[[#This Row],[Female]]</f>
        <v>28</v>
      </c>
      <c r="I76" s="271" t="s">
        <v>904</v>
      </c>
      <c r="J76" s="673">
        <v>43404</v>
      </c>
      <c r="K76" s="919"/>
      <c r="N76"/>
      <c r="O76"/>
    </row>
    <row r="77" spans="1:15" ht="15" x14ac:dyDescent="0.25">
      <c r="A77" s="274" t="s">
        <v>7</v>
      </c>
      <c r="B77" s="290" t="s">
        <v>17</v>
      </c>
      <c r="C77" s="271" t="s">
        <v>580</v>
      </c>
      <c r="D77" s="275" t="str">
        <f ca="1">IFERROR(OFFSET(Camp_List[P_Code],MATCH(Data_Vulnerability_t[[#This Row],[Camp Name]],Camp_List[Camp Name],0)-1,0,1,1),"")</f>
        <v>MMR012CMP092</v>
      </c>
      <c r="E77" s="276" t="s">
        <v>1006</v>
      </c>
      <c r="F77" s="922">
        <v>11</v>
      </c>
      <c r="G77" s="922">
        <v>9</v>
      </c>
      <c r="H77" s="1076">
        <f>Data_Vulnerability_t[[#This Row],[Male]]+Data_Vulnerability_t[[#This Row],[Female]]</f>
        <v>20</v>
      </c>
      <c r="I77" s="271" t="s">
        <v>904</v>
      </c>
      <c r="J77" s="673">
        <v>43404</v>
      </c>
      <c r="K77" s="919"/>
      <c r="N77"/>
      <c r="O77"/>
    </row>
    <row r="78" spans="1:15" ht="15" x14ac:dyDescent="0.25">
      <c r="A78" s="274" t="s">
        <v>7</v>
      </c>
      <c r="B78" s="290" t="s">
        <v>17</v>
      </c>
      <c r="C78" s="271" t="s">
        <v>580</v>
      </c>
      <c r="D78" s="275" t="str">
        <f ca="1">IFERROR(OFFSET(Camp_List[P_Code],MATCH(Data_Vulnerability_t[[#This Row],[Camp Name]],Camp_List[Camp Name],0)-1,0,1,1),"")</f>
        <v>MMR012CMP092</v>
      </c>
      <c r="E78" s="276" t="s">
        <v>1007</v>
      </c>
      <c r="F78" s="922">
        <v>2</v>
      </c>
      <c r="G78" s="922">
        <v>3</v>
      </c>
      <c r="H78" s="1076">
        <f>Data_Vulnerability_t[[#This Row],[Male]]+Data_Vulnerability_t[[#This Row],[Female]]</f>
        <v>5</v>
      </c>
      <c r="I78" s="271" t="s">
        <v>904</v>
      </c>
      <c r="J78" s="673">
        <v>43404</v>
      </c>
      <c r="K78" s="919"/>
      <c r="N78"/>
      <c r="O78"/>
    </row>
    <row r="79" spans="1:15" ht="15" x14ac:dyDescent="0.25">
      <c r="A79" s="274" t="s">
        <v>7</v>
      </c>
      <c r="B79" s="290" t="s">
        <v>17</v>
      </c>
      <c r="C79" s="271" t="s">
        <v>580</v>
      </c>
      <c r="D79" s="275" t="str">
        <f ca="1">IFERROR(OFFSET(Camp_List[P_Code],MATCH(Data_Vulnerability_t[[#This Row],[Camp Name]],Camp_List[Camp Name],0)-1,0,1,1),"")</f>
        <v>MMR012CMP092</v>
      </c>
      <c r="E79" s="276" t="s">
        <v>1008</v>
      </c>
      <c r="F79" s="922">
        <v>9</v>
      </c>
      <c r="G79" s="922">
        <v>18</v>
      </c>
      <c r="H79" s="1076">
        <f>Data_Vulnerability_t[[#This Row],[Male]]+Data_Vulnerability_t[[#This Row],[Female]]</f>
        <v>27</v>
      </c>
      <c r="I79" s="271" t="s">
        <v>904</v>
      </c>
      <c r="J79" s="673">
        <v>43404</v>
      </c>
      <c r="K79" s="919"/>
      <c r="N79"/>
      <c r="O79"/>
    </row>
    <row r="80" spans="1:15" ht="15" x14ac:dyDescent="0.25">
      <c r="A80" s="274" t="s">
        <v>7</v>
      </c>
      <c r="B80" s="290" t="s">
        <v>17</v>
      </c>
      <c r="C80" s="271" t="s">
        <v>580</v>
      </c>
      <c r="D80" s="275" t="str">
        <f ca="1">IFERROR(OFFSET(Camp_List[P_Code],MATCH(Data_Vulnerability_t[[#This Row],[Camp Name]],Camp_List[Camp Name],0)-1,0,1,1),"")</f>
        <v>MMR012CMP092</v>
      </c>
      <c r="E80" s="276" t="s">
        <v>1009</v>
      </c>
      <c r="F80" s="922">
        <v>5</v>
      </c>
      <c r="G80" s="922">
        <v>59</v>
      </c>
      <c r="H80" s="1076">
        <f>Data_Vulnerability_t[[#This Row],[Male]]+Data_Vulnerability_t[[#This Row],[Female]]</f>
        <v>64</v>
      </c>
      <c r="I80" s="271" t="s">
        <v>904</v>
      </c>
      <c r="J80" s="673">
        <v>43404</v>
      </c>
      <c r="K80" s="919"/>
      <c r="N80"/>
      <c r="O80"/>
    </row>
    <row r="81" spans="1:15" ht="15" x14ac:dyDescent="0.25">
      <c r="A81" s="274" t="s">
        <v>7</v>
      </c>
      <c r="B81" s="290" t="s">
        <v>17</v>
      </c>
      <c r="C81" s="271" t="s">
        <v>580</v>
      </c>
      <c r="D81" s="275" t="str">
        <f ca="1">IFERROR(OFFSET(Camp_List[P_Code],MATCH(Data_Vulnerability_t[[#This Row],[Camp Name]],Camp_List[Camp Name],0)-1,0,1,1),"")</f>
        <v>MMR012CMP092</v>
      </c>
      <c r="E81" s="276" t="s">
        <v>1010</v>
      </c>
      <c r="F81" s="922"/>
      <c r="G81" s="922">
        <v>41</v>
      </c>
      <c r="H81" s="1076">
        <f>Data_Vulnerability_t[[#This Row],[Male]]+Data_Vulnerability_t[[#This Row],[Female]]</f>
        <v>41</v>
      </c>
      <c r="I81" s="271" t="s">
        <v>904</v>
      </c>
      <c r="J81" s="673">
        <v>43404</v>
      </c>
      <c r="K81" s="919"/>
      <c r="N81"/>
      <c r="O81"/>
    </row>
    <row r="82" spans="1:15" ht="15" x14ac:dyDescent="0.25">
      <c r="A82" s="274" t="s">
        <v>7</v>
      </c>
      <c r="B82" s="290" t="s">
        <v>17</v>
      </c>
      <c r="C82" s="275" t="s">
        <v>580</v>
      </c>
      <c r="D82" s="323" t="str">
        <f ca="1">IFERROR(OFFSET(Camp_List[P_Code],MATCH(Data_Vulnerability_t[[#This Row],[Camp Name]],Camp_List[Camp Name],0)-1,0,1,1),"")</f>
        <v>MMR012CMP092</v>
      </c>
      <c r="E82" s="276" t="s">
        <v>774</v>
      </c>
      <c r="F82" s="922"/>
      <c r="G82" s="922">
        <v>210</v>
      </c>
      <c r="H82" s="1076">
        <f>Data_Vulnerability_t[[#This Row],[Male]]+Data_Vulnerability_t[[#This Row],[Female]]</f>
        <v>210</v>
      </c>
      <c r="I82" s="271" t="s">
        <v>904</v>
      </c>
      <c r="J82" s="673">
        <v>43404</v>
      </c>
      <c r="K82" s="919"/>
      <c r="N82" s="645"/>
      <c r="O82" s="645"/>
    </row>
    <row r="83" spans="1:15" ht="15" x14ac:dyDescent="0.25">
      <c r="A83" s="274" t="s">
        <v>7</v>
      </c>
      <c r="B83" s="290" t="s">
        <v>13</v>
      </c>
      <c r="C83" s="271" t="s">
        <v>982</v>
      </c>
      <c r="D83" s="275" t="str">
        <f ca="1">IFERROR(OFFSET(Camp_List[P_Code],MATCH(Data_Vulnerability_t[[#This Row],[Camp Name]],Camp_List[Camp Name],0)-1,0,1,1),"")</f>
        <v>MMR012CMP017</v>
      </c>
      <c r="E83" s="276" t="s">
        <v>1003</v>
      </c>
      <c r="F83" s="922">
        <v>37</v>
      </c>
      <c r="G83" s="922">
        <v>44</v>
      </c>
      <c r="H83" s="1076">
        <f>Data_Vulnerability_t[[#This Row],[Male]]+Data_Vulnerability_t[[#This Row],[Female]]</f>
        <v>81</v>
      </c>
      <c r="I83" s="271" t="s">
        <v>575</v>
      </c>
      <c r="J83" s="673">
        <v>43373</v>
      </c>
      <c r="K83" s="919"/>
      <c r="N83"/>
      <c r="O83"/>
    </row>
    <row r="84" spans="1:15" ht="15" x14ac:dyDescent="0.25">
      <c r="A84" s="274" t="s">
        <v>7</v>
      </c>
      <c r="B84" s="290" t="s">
        <v>13</v>
      </c>
      <c r="C84" s="271" t="s">
        <v>982</v>
      </c>
      <c r="D84" s="275" t="str">
        <f ca="1">IFERROR(OFFSET(Camp_List[P_Code],MATCH(Data_Vulnerability_t[[#This Row],[Camp Name]],Camp_List[Camp Name],0)-1,0,1,1),"")</f>
        <v>MMR012CMP017</v>
      </c>
      <c r="E84" s="276" t="s">
        <v>1004</v>
      </c>
      <c r="F84" s="922">
        <v>3</v>
      </c>
      <c r="G84" s="922">
        <v>4</v>
      </c>
      <c r="H84" s="1076">
        <f>Data_Vulnerability_t[[#This Row],[Male]]+Data_Vulnerability_t[[#This Row],[Female]]</f>
        <v>7</v>
      </c>
      <c r="I84" s="271" t="s">
        <v>575</v>
      </c>
      <c r="J84" s="673">
        <v>43373</v>
      </c>
      <c r="K84" s="919"/>
      <c r="N84"/>
      <c r="O84"/>
    </row>
    <row r="85" spans="1:15" ht="15" x14ac:dyDescent="0.25">
      <c r="A85" s="274" t="s">
        <v>7</v>
      </c>
      <c r="B85" s="290" t="s">
        <v>13</v>
      </c>
      <c r="C85" s="271" t="s">
        <v>982</v>
      </c>
      <c r="D85" s="275" t="str">
        <f ca="1">IFERROR(OFFSET(Camp_List[P_Code],MATCH(Data_Vulnerability_t[[#This Row],[Camp Name]],Camp_List[Camp Name],0)-1,0,1,1),"")</f>
        <v>MMR012CMP017</v>
      </c>
      <c r="E85" s="276" t="s">
        <v>1005</v>
      </c>
      <c r="F85" s="922">
        <v>12</v>
      </c>
      <c r="G85" s="922">
        <v>6</v>
      </c>
      <c r="H85" s="1076">
        <f>Data_Vulnerability_t[[#This Row],[Male]]+Data_Vulnerability_t[[#This Row],[Female]]</f>
        <v>18</v>
      </c>
      <c r="I85" s="271" t="s">
        <v>575</v>
      </c>
      <c r="J85" s="673">
        <v>43373</v>
      </c>
      <c r="K85" s="919"/>
      <c r="N85"/>
      <c r="O85"/>
    </row>
    <row r="86" spans="1:15" ht="15" x14ac:dyDescent="0.25">
      <c r="A86" s="274" t="s">
        <v>7</v>
      </c>
      <c r="B86" s="290" t="s">
        <v>13</v>
      </c>
      <c r="C86" s="271" t="s">
        <v>982</v>
      </c>
      <c r="D86" s="275" t="str">
        <f ca="1">IFERROR(OFFSET(Camp_List[P_Code],MATCH(Data_Vulnerability_t[[#This Row],[Camp Name]],Camp_List[Camp Name],0)-1,0,1,1),"")</f>
        <v>MMR012CMP017</v>
      </c>
      <c r="E86" s="276" t="s">
        <v>1006</v>
      </c>
      <c r="F86" s="922">
        <v>3</v>
      </c>
      <c r="G86" s="922">
        <v>5</v>
      </c>
      <c r="H86" s="1076">
        <f>Data_Vulnerability_t[[#This Row],[Male]]+Data_Vulnerability_t[[#This Row],[Female]]</f>
        <v>8</v>
      </c>
      <c r="I86" s="271" t="s">
        <v>575</v>
      </c>
      <c r="J86" s="673">
        <v>43373</v>
      </c>
      <c r="K86" s="919"/>
      <c r="N86"/>
      <c r="O86"/>
    </row>
    <row r="87" spans="1:15" ht="15" x14ac:dyDescent="0.25">
      <c r="A87" s="274" t="s">
        <v>7</v>
      </c>
      <c r="B87" s="290" t="s">
        <v>13</v>
      </c>
      <c r="C87" s="271" t="s">
        <v>982</v>
      </c>
      <c r="D87" s="275" t="str">
        <f ca="1">IFERROR(OFFSET(Camp_List[P_Code],MATCH(Data_Vulnerability_t[[#This Row],[Camp Name]],Camp_List[Camp Name],0)-1,0,1,1),"")</f>
        <v>MMR012CMP017</v>
      </c>
      <c r="E87" s="276" t="s">
        <v>1007</v>
      </c>
      <c r="F87" s="922">
        <v>6</v>
      </c>
      <c r="G87" s="922">
        <v>8</v>
      </c>
      <c r="H87" s="1076">
        <f>Data_Vulnerability_t[[#This Row],[Male]]+Data_Vulnerability_t[[#This Row],[Female]]</f>
        <v>14</v>
      </c>
      <c r="I87" s="271" t="s">
        <v>575</v>
      </c>
      <c r="J87" s="673">
        <v>43373</v>
      </c>
      <c r="K87" s="919"/>
      <c r="N87"/>
      <c r="O87"/>
    </row>
    <row r="88" spans="1:15" ht="15" x14ac:dyDescent="0.25">
      <c r="A88" s="274" t="s">
        <v>7</v>
      </c>
      <c r="B88" s="290" t="s">
        <v>13</v>
      </c>
      <c r="C88" s="271" t="s">
        <v>982</v>
      </c>
      <c r="D88" s="275" t="str">
        <f ca="1">IFERROR(OFFSET(Camp_List[P_Code],MATCH(Data_Vulnerability_t[[#This Row],[Camp Name]],Camp_List[Camp Name],0)-1,0,1,1),"")</f>
        <v>MMR012CMP017</v>
      </c>
      <c r="E88" s="276" t="s">
        <v>1008</v>
      </c>
      <c r="F88" s="922">
        <v>45</v>
      </c>
      <c r="G88" s="922">
        <v>33</v>
      </c>
      <c r="H88" s="1076">
        <f>Data_Vulnerability_t[[#This Row],[Male]]+Data_Vulnerability_t[[#This Row],[Female]]</f>
        <v>78</v>
      </c>
      <c r="I88" s="271" t="s">
        <v>575</v>
      </c>
      <c r="J88" s="673">
        <v>43373</v>
      </c>
      <c r="K88" s="919"/>
      <c r="N88"/>
      <c r="O88"/>
    </row>
    <row r="89" spans="1:15" ht="15" x14ac:dyDescent="0.25">
      <c r="A89" s="274" t="s">
        <v>7</v>
      </c>
      <c r="B89" s="290" t="s">
        <v>13</v>
      </c>
      <c r="C89" s="271" t="s">
        <v>982</v>
      </c>
      <c r="D89" s="275" t="str">
        <f ca="1">IFERROR(OFFSET(Camp_List[P_Code],MATCH(Data_Vulnerability_t[[#This Row],[Camp Name]],Camp_List[Camp Name],0)-1,0,1,1),"")</f>
        <v>MMR012CMP017</v>
      </c>
      <c r="E89" s="276" t="s">
        <v>1009</v>
      </c>
      <c r="F89" s="922">
        <v>6</v>
      </c>
      <c r="G89" s="922">
        <v>110</v>
      </c>
      <c r="H89" s="1076">
        <f>Data_Vulnerability_t[[#This Row],[Male]]+Data_Vulnerability_t[[#This Row],[Female]]</f>
        <v>116</v>
      </c>
      <c r="I89" s="271" t="s">
        <v>575</v>
      </c>
      <c r="J89" s="673">
        <v>43373</v>
      </c>
      <c r="K89" s="919"/>
      <c r="N89"/>
      <c r="O89"/>
    </row>
    <row r="90" spans="1:15" ht="15" x14ac:dyDescent="0.25">
      <c r="A90" s="274" t="s">
        <v>7</v>
      </c>
      <c r="B90" s="290" t="s">
        <v>13</v>
      </c>
      <c r="C90" s="271" t="s">
        <v>982</v>
      </c>
      <c r="D90" s="275" t="str">
        <f ca="1">IFERROR(OFFSET(Camp_List[P_Code],MATCH(Data_Vulnerability_t[[#This Row],[Camp Name]],Camp_List[Camp Name],0)-1,0,1,1),"")</f>
        <v>MMR012CMP017</v>
      </c>
      <c r="E90" s="276" t="s">
        <v>1010</v>
      </c>
      <c r="F90" s="922"/>
      <c r="G90" s="922">
        <v>163</v>
      </c>
      <c r="H90" s="1076">
        <f>Data_Vulnerability_t[[#This Row],[Male]]+Data_Vulnerability_t[[#This Row],[Female]]</f>
        <v>163</v>
      </c>
      <c r="I90" s="271" t="s">
        <v>575</v>
      </c>
      <c r="J90" s="673">
        <v>43373</v>
      </c>
      <c r="K90" s="919"/>
      <c r="N90"/>
      <c r="O90"/>
    </row>
    <row r="91" spans="1:15" ht="15" x14ac:dyDescent="0.25">
      <c r="A91" s="274" t="s">
        <v>7</v>
      </c>
      <c r="B91" s="290" t="s">
        <v>13</v>
      </c>
      <c r="C91" s="271" t="s">
        <v>982</v>
      </c>
      <c r="D91" s="323" t="str">
        <f ca="1">IFERROR(OFFSET(Camp_List[P_Code],MATCH(Data_Vulnerability_t[[#This Row],[Camp Name]],Camp_List[Camp Name],0)-1,0,1,1),"")</f>
        <v>MMR012CMP017</v>
      </c>
      <c r="E91" s="276" t="s">
        <v>774</v>
      </c>
      <c r="F91" s="922"/>
      <c r="G91" s="922">
        <v>299</v>
      </c>
      <c r="H91" s="1076">
        <f>Data_Vulnerability_t[[#This Row],[Male]]+Data_Vulnerability_t[[#This Row],[Female]]</f>
        <v>299</v>
      </c>
      <c r="I91" s="271" t="s">
        <v>575</v>
      </c>
      <c r="J91" s="673">
        <v>43373</v>
      </c>
      <c r="K91" s="919"/>
      <c r="N91" s="645"/>
      <c r="O91" s="645"/>
    </row>
    <row r="92" spans="1:15" ht="15" x14ac:dyDescent="0.25">
      <c r="A92" s="274" t="s">
        <v>7</v>
      </c>
      <c r="B92" s="290" t="s">
        <v>17</v>
      </c>
      <c r="C92" s="271" t="s">
        <v>585</v>
      </c>
      <c r="D92" s="275" t="str">
        <f ca="1">IFERROR(OFFSET(Camp_List[P_Code],MATCH(Data_Vulnerability_t[[#This Row],[Camp Name]],Camp_List[Camp Name],0)-1,0,1,1),"")</f>
        <v>MMR012CMP098</v>
      </c>
      <c r="E92" s="276" t="s">
        <v>1003</v>
      </c>
      <c r="F92" s="922">
        <v>36</v>
      </c>
      <c r="G92" s="922">
        <v>41</v>
      </c>
      <c r="H92" s="1076">
        <f>Data_Vulnerability_t[[#This Row],[Male]]+Data_Vulnerability_t[[#This Row],[Female]]</f>
        <v>77</v>
      </c>
      <c r="I92" s="271" t="s">
        <v>273</v>
      </c>
      <c r="J92" s="673">
        <v>43373</v>
      </c>
      <c r="K92" s="919"/>
      <c r="N92"/>
      <c r="O92"/>
    </row>
    <row r="93" spans="1:15" ht="15" x14ac:dyDescent="0.25">
      <c r="A93" s="274" t="s">
        <v>7</v>
      </c>
      <c r="B93" s="290" t="s">
        <v>17</v>
      </c>
      <c r="C93" s="271" t="s">
        <v>585</v>
      </c>
      <c r="D93" s="275" t="str">
        <f ca="1">IFERROR(OFFSET(Camp_List[P_Code],MATCH(Data_Vulnerability_t[[#This Row],[Camp Name]],Camp_List[Camp Name],0)-1,0,1,1),"")</f>
        <v>MMR012CMP098</v>
      </c>
      <c r="E93" s="276" t="s">
        <v>1004</v>
      </c>
      <c r="F93" s="922"/>
      <c r="G93" s="922"/>
      <c r="H93" s="1076">
        <f>Data_Vulnerability_t[[#This Row],[Male]]+Data_Vulnerability_t[[#This Row],[Female]]</f>
        <v>0</v>
      </c>
      <c r="I93" s="271" t="s">
        <v>273</v>
      </c>
      <c r="J93" s="673">
        <v>43373</v>
      </c>
      <c r="K93" s="919"/>
      <c r="N93"/>
      <c r="O93"/>
    </row>
    <row r="94" spans="1:15" ht="15" x14ac:dyDescent="0.25">
      <c r="A94" s="274" t="s">
        <v>7</v>
      </c>
      <c r="B94" s="290" t="s">
        <v>17</v>
      </c>
      <c r="C94" s="271" t="s">
        <v>585</v>
      </c>
      <c r="D94" s="275" t="str">
        <f ca="1">IFERROR(OFFSET(Camp_List[P_Code],MATCH(Data_Vulnerability_t[[#This Row],[Camp Name]],Camp_List[Camp Name],0)-1,0,1,1),"")</f>
        <v>MMR012CMP098</v>
      </c>
      <c r="E94" s="276" t="s">
        <v>1005</v>
      </c>
      <c r="F94" s="922">
        <v>42</v>
      </c>
      <c r="G94" s="922">
        <v>31</v>
      </c>
      <c r="H94" s="1076">
        <f>Data_Vulnerability_t[[#This Row],[Male]]+Data_Vulnerability_t[[#This Row],[Female]]</f>
        <v>73</v>
      </c>
      <c r="I94" s="271" t="s">
        <v>273</v>
      </c>
      <c r="J94" s="673">
        <v>43373</v>
      </c>
      <c r="K94" s="919"/>
      <c r="N94"/>
      <c r="O94"/>
    </row>
    <row r="95" spans="1:15" ht="15" x14ac:dyDescent="0.25">
      <c r="A95" s="274" t="s">
        <v>7</v>
      </c>
      <c r="B95" s="290" t="s">
        <v>17</v>
      </c>
      <c r="C95" s="302" t="s">
        <v>585</v>
      </c>
      <c r="D95" s="275" t="str">
        <f ca="1">IFERROR(OFFSET(Camp_List[P_Code],MATCH(Data_Vulnerability_t[[#This Row],[Camp Name]],Camp_List[Camp Name],0)-1,0,1,1),"")</f>
        <v>MMR012CMP098</v>
      </c>
      <c r="E95" s="276" t="s">
        <v>1006</v>
      </c>
      <c r="F95" s="922"/>
      <c r="G95" s="922"/>
      <c r="H95" s="1076">
        <f>Data_Vulnerability_t[[#This Row],[Male]]+Data_Vulnerability_t[[#This Row],[Female]]</f>
        <v>0</v>
      </c>
      <c r="I95" s="271" t="s">
        <v>273</v>
      </c>
      <c r="J95" s="673">
        <v>43373</v>
      </c>
      <c r="K95" s="919"/>
      <c r="N95"/>
      <c r="O95"/>
    </row>
    <row r="96" spans="1:15" ht="15" x14ac:dyDescent="0.25">
      <c r="A96" s="274" t="s">
        <v>7</v>
      </c>
      <c r="B96" s="290" t="s">
        <v>17</v>
      </c>
      <c r="C96" s="302" t="s">
        <v>585</v>
      </c>
      <c r="D96" s="275" t="str">
        <f ca="1">IFERROR(OFFSET(Camp_List[P_Code],MATCH(Data_Vulnerability_t[[#This Row],[Camp Name]],Camp_List[Camp Name],0)-1,0,1,1),"")</f>
        <v>MMR012CMP098</v>
      </c>
      <c r="E96" s="276" t="s">
        <v>1007</v>
      </c>
      <c r="F96" s="922"/>
      <c r="G96" s="922"/>
      <c r="H96" s="1076">
        <f>Data_Vulnerability_t[[#This Row],[Male]]+Data_Vulnerability_t[[#This Row],[Female]]</f>
        <v>0</v>
      </c>
      <c r="I96" s="271" t="s">
        <v>273</v>
      </c>
      <c r="J96" s="673">
        <v>43373</v>
      </c>
      <c r="K96" s="919"/>
      <c r="N96"/>
      <c r="O96"/>
    </row>
    <row r="97" spans="1:15" ht="15" x14ac:dyDescent="0.25">
      <c r="A97" s="274" t="s">
        <v>7</v>
      </c>
      <c r="B97" s="290" t="s">
        <v>17</v>
      </c>
      <c r="C97" s="302" t="s">
        <v>585</v>
      </c>
      <c r="D97" s="275" t="str">
        <f ca="1">IFERROR(OFFSET(Camp_List[P_Code],MATCH(Data_Vulnerability_t[[#This Row],[Camp Name]],Camp_List[Camp Name],0)-1,0,1,1),"")</f>
        <v>MMR012CMP098</v>
      </c>
      <c r="E97" s="276" t="s">
        <v>1008</v>
      </c>
      <c r="F97" s="922">
        <v>19</v>
      </c>
      <c r="G97" s="922">
        <v>31</v>
      </c>
      <c r="H97" s="1076">
        <f>Data_Vulnerability_t[[#This Row],[Male]]+Data_Vulnerability_t[[#This Row],[Female]]</f>
        <v>50</v>
      </c>
      <c r="I97" s="271" t="s">
        <v>273</v>
      </c>
      <c r="J97" s="673">
        <v>43373</v>
      </c>
      <c r="K97" s="919"/>
      <c r="N97"/>
      <c r="O97"/>
    </row>
    <row r="98" spans="1:15" ht="17.25" customHeight="1" x14ac:dyDescent="0.25">
      <c r="A98" s="274" t="s">
        <v>7</v>
      </c>
      <c r="B98" s="290" t="s">
        <v>17</v>
      </c>
      <c r="C98" s="302" t="s">
        <v>585</v>
      </c>
      <c r="D98" s="275" t="str">
        <f ca="1">IFERROR(OFFSET(Camp_List[P_Code],MATCH(Data_Vulnerability_t[[#This Row],[Camp Name]],Camp_List[Camp Name],0)-1,0,1,1),"")</f>
        <v>MMR012CMP098</v>
      </c>
      <c r="E98" s="276" t="s">
        <v>1009</v>
      </c>
      <c r="F98" s="922"/>
      <c r="G98" s="922"/>
      <c r="H98" s="1076">
        <f>Data_Vulnerability_t[[#This Row],[Male]]+Data_Vulnerability_t[[#This Row],[Female]]</f>
        <v>0</v>
      </c>
      <c r="I98" s="271" t="s">
        <v>273</v>
      </c>
      <c r="J98" s="673">
        <v>43373</v>
      </c>
      <c r="K98" s="919"/>
      <c r="N98"/>
      <c r="O98"/>
    </row>
    <row r="99" spans="1:15" ht="15" x14ac:dyDescent="0.25">
      <c r="A99" s="274" t="s">
        <v>7</v>
      </c>
      <c r="B99" s="290" t="s">
        <v>17</v>
      </c>
      <c r="C99" s="302" t="s">
        <v>585</v>
      </c>
      <c r="D99" s="275" t="str">
        <f ca="1">IFERROR(OFFSET(Camp_List[P_Code],MATCH(Data_Vulnerability_t[[#This Row],[Camp Name]],Camp_List[Camp Name],0)-1,0,1,1),"")</f>
        <v>MMR012CMP098</v>
      </c>
      <c r="E99" s="276" t="s">
        <v>1010</v>
      </c>
      <c r="F99" s="922"/>
      <c r="G99" s="922">
        <v>68</v>
      </c>
      <c r="H99" s="1076">
        <f>Data_Vulnerability_t[[#This Row],[Male]]+Data_Vulnerability_t[[#This Row],[Female]]</f>
        <v>68</v>
      </c>
      <c r="I99" s="271" t="s">
        <v>273</v>
      </c>
      <c r="J99" s="673">
        <v>43373</v>
      </c>
      <c r="K99" s="919"/>
      <c r="N99"/>
      <c r="O99"/>
    </row>
    <row r="100" spans="1:15" ht="15" x14ac:dyDescent="0.25">
      <c r="A100" s="274" t="s">
        <v>7</v>
      </c>
      <c r="B100" s="290" t="s">
        <v>17</v>
      </c>
      <c r="C100" s="311" t="s">
        <v>585</v>
      </c>
      <c r="D100" s="323" t="str">
        <f ca="1">IFERROR(OFFSET(Camp_List[P_Code],MATCH(Data_Vulnerability_t[[#This Row],[Camp Name]],Camp_List[Camp Name],0)-1,0,1,1),"")</f>
        <v>MMR012CMP098</v>
      </c>
      <c r="E100" s="276" t="s">
        <v>774</v>
      </c>
      <c r="F100" s="922"/>
      <c r="G100" s="922">
        <v>99</v>
      </c>
      <c r="H100" s="1076">
        <f>Data_Vulnerability_t[[#This Row],[Male]]+Data_Vulnerability_t[[#This Row],[Female]]</f>
        <v>99</v>
      </c>
      <c r="I100" s="271" t="s">
        <v>273</v>
      </c>
      <c r="J100" s="673">
        <v>43373</v>
      </c>
      <c r="K100" s="919"/>
      <c r="N100" s="645"/>
      <c r="O100" s="645"/>
    </row>
    <row r="101" spans="1:15" ht="15" x14ac:dyDescent="0.25">
      <c r="A101" s="274" t="s">
        <v>7</v>
      </c>
      <c r="B101" s="290" t="s">
        <v>17</v>
      </c>
      <c r="C101" s="302" t="s">
        <v>586</v>
      </c>
      <c r="D101" s="275" t="str">
        <f ca="1">IFERROR(OFFSET(Camp_List[P_Code],MATCH(Data_Vulnerability_t[[#This Row],[Camp Name]],Camp_List[Camp Name],0)-1,0,1,1),"")</f>
        <v>MMR012CMP115</v>
      </c>
      <c r="E101" s="276" t="s">
        <v>1003</v>
      </c>
      <c r="F101" s="922">
        <v>127</v>
      </c>
      <c r="G101" s="922">
        <v>146</v>
      </c>
      <c r="H101" s="1076">
        <f>Data_Vulnerability_t[[#This Row],[Male]]+Data_Vulnerability_t[[#This Row],[Female]]</f>
        <v>273</v>
      </c>
      <c r="I101" s="271" t="s">
        <v>273</v>
      </c>
      <c r="J101" s="673">
        <v>43373</v>
      </c>
      <c r="K101" s="919"/>
      <c r="N101"/>
      <c r="O101"/>
    </row>
    <row r="102" spans="1:15" ht="15" x14ac:dyDescent="0.25">
      <c r="A102" s="274" t="s">
        <v>7</v>
      </c>
      <c r="B102" s="290" t="s">
        <v>17</v>
      </c>
      <c r="C102" s="302" t="s">
        <v>586</v>
      </c>
      <c r="D102" s="275" t="str">
        <f ca="1">IFERROR(OFFSET(Camp_List[P_Code],MATCH(Data_Vulnerability_t[[#This Row],[Camp Name]],Camp_List[Camp Name],0)-1,0,1,1),"")</f>
        <v>MMR012CMP115</v>
      </c>
      <c r="E102" s="276" t="s">
        <v>1004</v>
      </c>
      <c r="F102" s="922">
        <v>146</v>
      </c>
      <c r="G102" s="922"/>
      <c r="H102" s="1076">
        <f>Data_Vulnerability_t[[#This Row],[Male]]+Data_Vulnerability_t[[#This Row],[Female]]</f>
        <v>146</v>
      </c>
      <c r="I102" s="271" t="s">
        <v>273</v>
      </c>
      <c r="J102" s="673">
        <v>43373</v>
      </c>
      <c r="K102" s="919"/>
      <c r="N102"/>
      <c r="O102"/>
    </row>
    <row r="103" spans="1:15" ht="15" x14ac:dyDescent="0.25">
      <c r="A103" s="274" t="s">
        <v>7</v>
      </c>
      <c r="B103" s="290" t="s">
        <v>17</v>
      </c>
      <c r="C103" s="302" t="s">
        <v>586</v>
      </c>
      <c r="D103" s="275" t="str">
        <f ca="1">IFERROR(OFFSET(Camp_List[P_Code],MATCH(Data_Vulnerability_t[[#This Row],[Camp Name]],Camp_List[Camp Name],0)-1,0,1,1),"")</f>
        <v>MMR012CMP115</v>
      </c>
      <c r="E103" s="276" t="s">
        <v>1005</v>
      </c>
      <c r="F103" s="922"/>
      <c r="G103" s="922"/>
      <c r="H103" s="1076">
        <f>Data_Vulnerability_t[[#This Row],[Male]]+Data_Vulnerability_t[[#This Row],[Female]]</f>
        <v>0</v>
      </c>
      <c r="I103" s="271" t="s">
        <v>273</v>
      </c>
      <c r="J103" s="673">
        <v>43373</v>
      </c>
      <c r="K103" s="919"/>
      <c r="N103"/>
      <c r="O103"/>
    </row>
    <row r="104" spans="1:15" ht="15" x14ac:dyDescent="0.25">
      <c r="A104" s="274" t="s">
        <v>7</v>
      </c>
      <c r="B104" s="290" t="s">
        <v>17</v>
      </c>
      <c r="C104" s="275" t="s">
        <v>586</v>
      </c>
      <c r="D104" s="275" t="str">
        <f ca="1">IFERROR(OFFSET(Camp_List[P_Code],MATCH(Data_Vulnerability_t[[#This Row],[Camp Name]],Camp_List[Camp Name],0)-1,0,1,1),"")</f>
        <v>MMR012CMP115</v>
      </c>
      <c r="E104" s="276" t="s">
        <v>1006</v>
      </c>
      <c r="F104" s="922"/>
      <c r="G104" s="922"/>
      <c r="H104" s="1076">
        <f>Data_Vulnerability_t[[#This Row],[Male]]+Data_Vulnerability_t[[#This Row],[Female]]</f>
        <v>0</v>
      </c>
      <c r="I104" s="271" t="s">
        <v>273</v>
      </c>
      <c r="J104" s="673">
        <v>43373</v>
      </c>
      <c r="K104" s="919"/>
      <c r="N104"/>
      <c r="O104"/>
    </row>
    <row r="105" spans="1:15" ht="15" x14ac:dyDescent="0.25">
      <c r="A105" s="274" t="s">
        <v>7</v>
      </c>
      <c r="B105" s="290" t="s">
        <v>17</v>
      </c>
      <c r="C105" s="275" t="s">
        <v>586</v>
      </c>
      <c r="D105" s="275" t="str">
        <f ca="1">IFERROR(OFFSET(Camp_List[P_Code],MATCH(Data_Vulnerability_t[[#This Row],[Camp Name]],Camp_List[Camp Name],0)-1,0,1,1),"")</f>
        <v>MMR012CMP115</v>
      </c>
      <c r="E105" s="276" t="s">
        <v>1007</v>
      </c>
      <c r="F105" s="922"/>
      <c r="G105" s="922"/>
      <c r="H105" s="1076">
        <f>Data_Vulnerability_t[[#This Row],[Male]]+Data_Vulnerability_t[[#This Row],[Female]]</f>
        <v>0</v>
      </c>
      <c r="I105" s="271" t="s">
        <v>273</v>
      </c>
      <c r="J105" s="673">
        <v>43373</v>
      </c>
      <c r="K105" s="919"/>
      <c r="N105"/>
      <c r="O105"/>
    </row>
    <row r="106" spans="1:15" ht="15" x14ac:dyDescent="0.25">
      <c r="A106" s="274" t="s">
        <v>7</v>
      </c>
      <c r="B106" s="290" t="s">
        <v>17</v>
      </c>
      <c r="C106" s="275" t="s">
        <v>586</v>
      </c>
      <c r="D106" s="275" t="str">
        <f ca="1">IFERROR(OFFSET(Camp_List[P_Code],MATCH(Data_Vulnerability_t[[#This Row],[Camp Name]],Camp_List[Camp Name],0)-1,0,1,1),"")</f>
        <v>MMR012CMP115</v>
      </c>
      <c r="E106" s="276" t="s">
        <v>1008</v>
      </c>
      <c r="F106" s="922">
        <v>79</v>
      </c>
      <c r="G106" s="922">
        <v>101</v>
      </c>
      <c r="H106" s="1076">
        <f>Data_Vulnerability_t[[#This Row],[Male]]+Data_Vulnerability_t[[#This Row],[Female]]</f>
        <v>180</v>
      </c>
      <c r="I106" s="271" t="s">
        <v>273</v>
      </c>
      <c r="J106" s="673">
        <v>43373</v>
      </c>
      <c r="K106" s="919"/>
      <c r="N106"/>
      <c r="O106"/>
    </row>
    <row r="107" spans="1:15" ht="15" x14ac:dyDescent="0.25">
      <c r="A107" s="274" t="s">
        <v>7</v>
      </c>
      <c r="B107" s="290" t="s">
        <v>17</v>
      </c>
      <c r="C107" s="275" t="s">
        <v>586</v>
      </c>
      <c r="D107" s="275" t="str">
        <f ca="1">IFERROR(OFFSET(Camp_List[P_Code],MATCH(Data_Vulnerability_t[[#This Row],[Camp Name]],Camp_List[Camp Name],0)-1,0,1,1),"")</f>
        <v>MMR012CMP115</v>
      </c>
      <c r="E107" s="276" t="s">
        <v>1009</v>
      </c>
      <c r="F107" s="922"/>
      <c r="G107" s="922"/>
      <c r="H107" s="1076">
        <f>Data_Vulnerability_t[[#This Row],[Male]]+Data_Vulnerability_t[[#This Row],[Female]]</f>
        <v>0</v>
      </c>
      <c r="I107" s="271" t="s">
        <v>273</v>
      </c>
      <c r="J107" s="673">
        <v>43373</v>
      </c>
      <c r="K107" s="919"/>
      <c r="N107"/>
      <c r="O107"/>
    </row>
    <row r="108" spans="1:15" ht="15" x14ac:dyDescent="0.25">
      <c r="A108" s="274" t="s">
        <v>7</v>
      </c>
      <c r="B108" s="290" t="s">
        <v>17</v>
      </c>
      <c r="C108" s="275" t="s">
        <v>586</v>
      </c>
      <c r="D108" s="275" t="str">
        <f ca="1">IFERROR(OFFSET(Camp_List[P_Code],MATCH(Data_Vulnerability_t[[#This Row],[Camp Name]],Camp_List[Camp Name],0)-1,0,1,1),"")</f>
        <v>MMR012CMP115</v>
      </c>
      <c r="E108" s="276" t="s">
        <v>1010</v>
      </c>
      <c r="F108" s="922"/>
      <c r="G108" s="922">
        <v>183</v>
      </c>
      <c r="H108" s="1076">
        <f>Data_Vulnerability_t[[#This Row],[Male]]+Data_Vulnerability_t[[#This Row],[Female]]</f>
        <v>183</v>
      </c>
      <c r="I108" s="271" t="s">
        <v>273</v>
      </c>
      <c r="J108" s="673">
        <v>43373</v>
      </c>
      <c r="K108" s="919"/>
      <c r="N108"/>
      <c r="O108"/>
    </row>
    <row r="109" spans="1:15" ht="15" x14ac:dyDescent="0.25">
      <c r="A109" s="274" t="s">
        <v>7</v>
      </c>
      <c r="B109" s="290" t="s">
        <v>17</v>
      </c>
      <c r="C109" s="275" t="s">
        <v>586</v>
      </c>
      <c r="D109" s="323" t="str">
        <f ca="1">IFERROR(OFFSET(Camp_List[P_Code],MATCH(Data_Vulnerability_t[[#This Row],[Camp Name]],Camp_List[Camp Name],0)-1,0,1,1),"")</f>
        <v>MMR012CMP115</v>
      </c>
      <c r="E109" s="276" t="s">
        <v>774</v>
      </c>
      <c r="F109" s="922"/>
      <c r="G109" s="922">
        <v>961</v>
      </c>
      <c r="H109" s="1076">
        <f>Data_Vulnerability_t[[#This Row],[Male]]+Data_Vulnerability_t[[#This Row],[Female]]</f>
        <v>961</v>
      </c>
      <c r="I109" s="271" t="s">
        <v>273</v>
      </c>
      <c r="J109" s="673">
        <v>43373</v>
      </c>
      <c r="K109" s="919"/>
      <c r="N109" s="645"/>
      <c r="O109" s="645"/>
    </row>
    <row r="110" spans="1:15" ht="15" x14ac:dyDescent="0.25">
      <c r="A110" s="274" t="s">
        <v>7</v>
      </c>
      <c r="B110" s="290" t="s">
        <v>17</v>
      </c>
      <c r="C110" s="275" t="s">
        <v>587</v>
      </c>
      <c r="D110" s="275" t="str">
        <f ca="1">IFERROR(OFFSET(Camp_List[P_Code],MATCH(Data_Vulnerability_t[[#This Row],[Camp Name]],Camp_List[Camp Name],0)-1,0,1,1),"")</f>
        <v>MMR012CMP116</v>
      </c>
      <c r="E110" s="276" t="s">
        <v>1003</v>
      </c>
      <c r="F110" s="922">
        <v>58</v>
      </c>
      <c r="G110" s="922">
        <v>42</v>
      </c>
      <c r="H110" s="1076">
        <f>Data_Vulnerability_t[[#This Row],[Male]]+Data_Vulnerability_t[[#This Row],[Female]]</f>
        <v>100</v>
      </c>
      <c r="I110" s="271" t="s">
        <v>575</v>
      </c>
      <c r="J110" s="673">
        <v>43373</v>
      </c>
      <c r="K110" s="919"/>
      <c r="N110"/>
      <c r="O110"/>
    </row>
    <row r="111" spans="1:15" ht="15" x14ac:dyDescent="0.25">
      <c r="A111" s="274" t="s">
        <v>7</v>
      </c>
      <c r="B111" s="290" t="s">
        <v>17</v>
      </c>
      <c r="C111" s="275" t="s">
        <v>587</v>
      </c>
      <c r="D111" s="275" t="str">
        <f ca="1">IFERROR(OFFSET(Camp_List[P_Code],MATCH(Data_Vulnerability_t[[#This Row],[Camp Name]],Camp_List[Camp Name],0)-1,0,1,1),"")</f>
        <v>MMR012CMP116</v>
      </c>
      <c r="E111" s="276" t="s">
        <v>1004</v>
      </c>
      <c r="F111" s="922">
        <v>23</v>
      </c>
      <c r="G111" s="922">
        <v>20</v>
      </c>
      <c r="H111" s="1076">
        <f>Data_Vulnerability_t[[#This Row],[Male]]+Data_Vulnerability_t[[#This Row],[Female]]</f>
        <v>43</v>
      </c>
      <c r="I111" s="271" t="s">
        <v>575</v>
      </c>
      <c r="J111" s="673">
        <v>43373</v>
      </c>
      <c r="K111" s="919"/>
      <c r="N111"/>
      <c r="O111"/>
    </row>
    <row r="112" spans="1:15" ht="15" x14ac:dyDescent="0.25">
      <c r="A112" s="274" t="s">
        <v>7</v>
      </c>
      <c r="B112" s="290" t="s">
        <v>17</v>
      </c>
      <c r="C112" s="275" t="s">
        <v>587</v>
      </c>
      <c r="D112" s="275" t="str">
        <f ca="1">IFERROR(OFFSET(Camp_List[P_Code],MATCH(Data_Vulnerability_t[[#This Row],[Camp Name]],Camp_List[Camp Name],0)-1,0,1,1),"")</f>
        <v>MMR012CMP116</v>
      </c>
      <c r="E112" s="276" t="s">
        <v>1005</v>
      </c>
      <c r="F112" s="922">
        <v>5</v>
      </c>
      <c r="G112" s="922">
        <v>8</v>
      </c>
      <c r="H112" s="1076">
        <f>Data_Vulnerability_t[[#This Row],[Male]]+Data_Vulnerability_t[[#This Row],[Female]]</f>
        <v>13</v>
      </c>
      <c r="I112" s="271" t="s">
        <v>575</v>
      </c>
      <c r="J112" s="673">
        <v>43373</v>
      </c>
      <c r="K112" s="919"/>
      <c r="N112"/>
      <c r="O112"/>
    </row>
    <row r="113" spans="1:15" ht="15" x14ac:dyDescent="0.25">
      <c r="A113" s="274" t="s">
        <v>7</v>
      </c>
      <c r="B113" s="290" t="s">
        <v>17</v>
      </c>
      <c r="C113" s="275" t="s">
        <v>587</v>
      </c>
      <c r="D113" s="275" t="str">
        <f ca="1">IFERROR(OFFSET(Camp_List[P_Code],MATCH(Data_Vulnerability_t[[#This Row],[Camp Name]],Camp_List[Camp Name],0)-1,0,1,1),"")</f>
        <v>MMR012CMP116</v>
      </c>
      <c r="E113" s="276" t="s">
        <v>1006</v>
      </c>
      <c r="F113" s="922">
        <v>7</v>
      </c>
      <c r="G113" s="922">
        <v>4</v>
      </c>
      <c r="H113" s="1076">
        <f>Data_Vulnerability_t[[#This Row],[Male]]+Data_Vulnerability_t[[#This Row],[Female]]</f>
        <v>11</v>
      </c>
      <c r="I113" s="271" t="s">
        <v>575</v>
      </c>
      <c r="J113" s="673">
        <v>43373</v>
      </c>
      <c r="K113" s="919"/>
      <c r="N113"/>
      <c r="O113"/>
    </row>
    <row r="114" spans="1:15" ht="15" x14ac:dyDescent="0.25">
      <c r="A114" s="274" t="s">
        <v>7</v>
      </c>
      <c r="B114" s="290" t="s">
        <v>17</v>
      </c>
      <c r="C114" s="271" t="s">
        <v>587</v>
      </c>
      <c r="D114" s="275" t="str">
        <f ca="1">IFERROR(OFFSET(Camp_List[P_Code],MATCH(Data_Vulnerability_t[[#This Row],[Camp Name]],Camp_List[Camp Name],0)-1,0,1,1),"")</f>
        <v>MMR012CMP116</v>
      </c>
      <c r="E114" s="276" t="s">
        <v>1007</v>
      </c>
      <c r="F114" s="922">
        <v>31</v>
      </c>
      <c r="G114" s="922">
        <v>9</v>
      </c>
      <c r="H114" s="1076">
        <f>Data_Vulnerability_t[[#This Row],[Male]]+Data_Vulnerability_t[[#This Row],[Female]]</f>
        <v>40</v>
      </c>
      <c r="I114" s="271" t="s">
        <v>575</v>
      </c>
      <c r="J114" s="673">
        <v>43373</v>
      </c>
      <c r="K114" s="919"/>
      <c r="N114"/>
      <c r="O114"/>
    </row>
    <row r="115" spans="1:15" ht="15" x14ac:dyDescent="0.25">
      <c r="A115" s="274" t="s">
        <v>7</v>
      </c>
      <c r="B115" s="290" t="s">
        <v>17</v>
      </c>
      <c r="C115" s="271" t="s">
        <v>587</v>
      </c>
      <c r="D115" s="275" t="str">
        <f ca="1">IFERROR(OFFSET(Camp_List[P_Code],MATCH(Data_Vulnerability_t[[#This Row],[Camp Name]],Camp_List[Camp Name],0)-1,0,1,1),"")</f>
        <v>MMR012CMP116</v>
      </c>
      <c r="E115" s="276" t="s">
        <v>1008</v>
      </c>
      <c r="F115" s="922">
        <v>77</v>
      </c>
      <c r="G115" s="922">
        <v>64</v>
      </c>
      <c r="H115" s="1076">
        <f>Data_Vulnerability_t[[#This Row],[Male]]+Data_Vulnerability_t[[#This Row],[Female]]</f>
        <v>141</v>
      </c>
      <c r="I115" s="271" t="s">
        <v>575</v>
      </c>
      <c r="J115" s="673">
        <v>43373</v>
      </c>
      <c r="K115" s="919"/>
      <c r="N115"/>
      <c r="O115"/>
    </row>
    <row r="116" spans="1:15" ht="15" x14ac:dyDescent="0.25">
      <c r="A116" s="274" t="s">
        <v>7</v>
      </c>
      <c r="B116" s="290" t="s">
        <v>17</v>
      </c>
      <c r="C116" s="271" t="s">
        <v>587</v>
      </c>
      <c r="D116" s="275" t="str">
        <f ca="1">IFERROR(OFFSET(Camp_List[P_Code],MATCH(Data_Vulnerability_t[[#This Row],[Camp Name]],Camp_List[Camp Name],0)-1,0,1,1),"")</f>
        <v>MMR012CMP116</v>
      </c>
      <c r="E116" s="276" t="s">
        <v>1009</v>
      </c>
      <c r="F116" s="922">
        <v>17</v>
      </c>
      <c r="G116" s="922">
        <v>151</v>
      </c>
      <c r="H116" s="1076">
        <f>Data_Vulnerability_t[[#This Row],[Male]]+Data_Vulnerability_t[[#This Row],[Female]]</f>
        <v>168</v>
      </c>
      <c r="I116" s="271" t="s">
        <v>575</v>
      </c>
      <c r="J116" s="673">
        <v>43373</v>
      </c>
      <c r="K116" s="919"/>
      <c r="N116"/>
      <c r="O116"/>
    </row>
    <row r="117" spans="1:15" ht="15" x14ac:dyDescent="0.25">
      <c r="A117" s="274" t="s">
        <v>7</v>
      </c>
      <c r="B117" s="290" t="s">
        <v>17</v>
      </c>
      <c r="C117" s="271" t="s">
        <v>587</v>
      </c>
      <c r="D117" s="275" t="str">
        <f ca="1">IFERROR(OFFSET(Camp_List[P_Code],MATCH(Data_Vulnerability_t[[#This Row],[Camp Name]],Camp_List[Camp Name],0)-1,0,1,1),"")</f>
        <v>MMR012CMP116</v>
      </c>
      <c r="E117" s="276" t="s">
        <v>1010</v>
      </c>
      <c r="F117" s="922"/>
      <c r="G117" s="922">
        <v>200</v>
      </c>
      <c r="H117" s="1076">
        <f>Data_Vulnerability_t[[#This Row],[Male]]+Data_Vulnerability_t[[#This Row],[Female]]</f>
        <v>200</v>
      </c>
      <c r="I117" s="271" t="s">
        <v>575</v>
      </c>
      <c r="J117" s="673">
        <v>43373</v>
      </c>
      <c r="K117" s="919"/>
      <c r="N117"/>
      <c r="O117"/>
    </row>
    <row r="118" spans="1:15" ht="15" x14ac:dyDescent="0.25">
      <c r="A118" s="274" t="s">
        <v>7</v>
      </c>
      <c r="B118" s="290" t="s">
        <v>17</v>
      </c>
      <c r="C118" s="275" t="s">
        <v>587</v>
      </c>
      <c r="D118" s="323" t="str">
        <f ca="1">IFERROR(OFFSET(Camp_List[P_Code],MATCH(Data_Vulnerability_t[[#This Row],[Camp Name]],Camp_List[Camp Name],0)-1,0,1,1),"")</f>
        <v>MMR012CMP116</v>
      </c>
      <c r="E118" s="276" t="s">
        <v>774</v>
      </c>
      <c r="F118" s="922"/>
      <c r="G118" s="922">
        <v>650</v>
      </c>
      <c r="H118" s="1076">
        <f>Data_Vulnerability_t[[#This Row],[Male]]+Data_Vulnerability_t[[#This Row],[Female]]</f>
        <v>650</v>
      </c>
      <c r="I118" s="271" t="s">
        <v>575</v>
      </c>
      <c r="J118" s="673">
        <v>43373</v>
      </c>
      <c r="K118" s="919"/>
      <c r="N118" s="645"/>
      <c r="O118" s="645"/>
    </row>
    <row r="119" spans="1:15" ht="15" x14ac:dyDescent="0.25">
      <c r="A119" s="274" t="s">
        <v>7</v>
      </c>
      <c r="B119" s="290" t="s">
        <v>17</v>
      </c>
      <c r="C119" s="271" t="s">
        <v>65</v>
      </c>
      <c r="D119" s="275" t="str">
        <f ca="1">IFERROR(OFFSET(Camp_List[P_Code],MATCH(Data_Vulnerability_t[[#This Row],[Camp Name]],Camp_List[Camp Name],0)-1,0,1,1),"")</f>
        <v>MMR012CMP045</v>
      </c>
      <c r="E119" s="276" t="s">
        <v>1003</v>
      </c>
      <c r="F119" s="922">
        <v>129</v>
      </c>
      <c r="G119" s="922">
        <v>156</v>
      </c>
      <c r="H119" s="1076">
        <v>0</v>
      </c>
      <c r="I119" s="271" t="s">
        <v>273</v>
      </c>
      <c r="J119" s="673">
        <v>43373</v>
      </c>
      <c r="K119" s="919"/>
      <c r="N119"/>
      <c r="O119"/>
    </row>
    <row r="120" spans="1:15" ht="15" x14ac:dyDescent="0.25">
      <c r="A120" s="274" t="s">
        <v>7</v>
      </c>
      <c r="B120" s="290" t="s">
        <v>17</v>
      </c>
      <c r="C120" s="271" t="s">
        <v>65</v>
      </c>
      <c r="D120" s="275" t="str">
        <f ca="1">IFERROR(OFFSET(Camp_List[P_Code],MATCH(Data_Vulnerability_t[[#This Row],[Camp Name]],Camp_List[Camp Name],0)-1,0,1,1),"")</f>
        <v>MMR012CMP045</v>
      </c>
      <c r="E120" s="276" t="s">
        <v>1004</v>
      </c>
      <c r="F120" s="922"/>
      <c r="G120" s="1017"/>
      <c r="H120" s="1077">
        <f>Data_Vulnerability_t[[#This Row],[Male]]+Data_Vulnerability_t[[#This Row],[Female]]</f>
        <v>0</v>
      </c>
      <c r="I120" s="271" t="s">
        <v>273</v>
      </c>
      <c r="J120" s="673">
        <v>43373</v>
      </c>
      <c r="K120" s="919"/>
      <c r="N120"/>
      <c r="O120"/>
    </row>
    <row r="121" spans="1:15" ht="15" x14ac:dyDescent="0.25">
      <c r="A121" s="274" t="s">
        <v>7</v>
      </c>
      <c r="B121" s="290" t="s">
        <v>17</v>
      </c>
      <c r="C121" s="271" t="s">
        <v>65</v>
      </c>
      <c r="D121" s="275" t="str">
        <f ca="1">IFERROR(OFFSET(Camp_List[P_Code],MATCH(Data_Vulnerability_t[[#This Row],[Camp Name]],Camp_List[Camp Name],0)-1,0,1,1),"")</f>
        <v>MMR012CMP045</v>
      </c>
      <c r="E121" s="276" t="s">
        <v>1005</v>
      </c>
      <c r="F121" s="922">
        <v>42</v>
      </c>
      <c r="G121" s="1017"/>
      <c r="H121" s="1077">
        <v>184</v>
      </c>
      <c r="I121" s="271" t="s">
        <v>273</v>
      </c>
      <c r="J121" s="673">
        <v>43373</v>
      </c>
      <c r="K121" s="919"/>
      <c r="N121"/>
      <c r="O121"/>
    </row>
    <row r="122" spans="1:15" ht="15" x14ac:dyDescent="0.25">
      <c r="A122" s="274" t="s">
        <v>7</v>
      </c>
      <c r="B122" s="290" t="s">
        <v>17</v>
      </c>
      <c r="C122" s="271" t="s">
        <v>65</v>
      </c>
      <c r="D122" s="275" t="str">
        <f ca="1">IFERROR(OFFSET(Camp_List[P_Code],MATCH(Data_Vulnerability_t[[#This Row],[Camp Name]],Camp_List[Camp Name],0)-1,0,1,1),"")</f>
        <v>MMR012CMP045</v>
      </c>
      <c r="E122" s="276" t="s">
        <v>1006</v>
      </c>
      <c r="F122" s="922"/>
      <c r="G122" s="1017"/>
      <c r="H122" s="1077">
        <f>Data_Vulnerability_t[[#This Row],[Male]]+Data_Vulnerability_t[[#This Row],[Female]]</f>
        <v>0</v>
      </c>
      <c r="I122" s="271" t="s">
        <v>273</v>
      </c>
      <c r="J122" s="673">
        <v>43373</v>
      </c>
      <c r="K122" s="919"/>
      <c r="N122"/>
      <c r="O122"/>
    </row>
    <row r="123" spans="1:15" x14ac:dyDescent="0.2">
      <c r="A123" s="274" t="s">
        <v>7</v>
      </c>
      <c r="B123" s="290" t="s">
        <v>17</v>
      </c>
      <c r="C123" s="271" t="s">
        <v>65</v>
      </c>
      <c r="D123" s="275" t="str">
        <f ca="1">IFERROR(OFFSET(Camp_List[P_Code],MATCH(Data_Vulnerability_t[[#This Row],[Camp Name]],Camp_List[Camp Name],0)-1,0,1,1),"")</f>
        <v>MMR012CMP045</v>
      </c>
      <c r="E123" s="276" t="s">
        <v>1007</v>
      </c>
      <c r="F123" s="922"/>
      <c r="G123" s="1017"/>
      <c r="H123" s="1077">
        <f>Data_Vulnerability_t[[#This Row],[Male]]+Data_Vulnerability_t[[#This Row],[Female]]</f>
        <v>0</v>
      </c>
      <c r="I123" s="271" t="s">
        <v>273</v>
      </c>
      <c r="J123" s="673">
        <v>43373</v>
      </c>
      <c r="K123" s="919"/>
    </row>
    <row r="124" spans="1:15" x14ac:dyDescent="0.2">
      <c r="A124" s="274" t="s">
        <v>7</v>
      </c>
      <c r="B124" s="290" t="s">
        <v>17</v>
      </c>
      <c r="C124" s="271" t="s">
        <v>65</v>
      </c>
      <c r="D124" s="275" t="str">
        <f ca="1">IFERROR(OFFSET(Camp_List[P_Code],MATCH(Data_Vulnerability_t[[#This Row],[Camp Name]],Camp_List[Camp Name],0)-1,0,1,1),"")</f>
        <v>MMR012CMP045</v>
      </c>
      <c r="E124" s="276" t="s">
        <v>1008</v>
      </c>
      <c r="F124" s="922">
        <v>97</v>
      </c>
      <c r="G124" s="1017">
        <v>117</v>
      </c>
      <c r="H124" s="1077">
        <v>206</v>
      </c>
      <c r="I124" s="271" t="s">
        <v>273</v>
      </c>
      <c r="J124" s="673">
        <v>43373</v>
      </c>
      <c r="K124" s="919"/>
    </row>
    <row r="125" spans="1:15" x14ac:dyDescent="0.2">
      <c r="A125" s="274" t="s">
        <v>7</v>
      </c>
      <c r="B125" s="290" t="s">
        <v>17</v>
      </c>
      <c r="C125" s="275" t="s">
        <v>65</v>
      </c>
      <c r="D125" s="275" t="str">
        <f ca="1">IFERROR(OFFSET(Camp_List[P_Code],MATCH(Data_Vulnerability_t[[#This Row],[Camp Name]],Camp_List[Camp Name],0)-1,0,1,1),"")</f>
        <v>MMR012CMP045</v>
      </c>
      <c r="E125" s="276" t="s">
        <v>1009</v>
      </c>
      <c r="F125" s="922"/>
      <c r="G125" s="1017"/>
      <c r="H125" s="1077">
        <f>Data_Vulnerability_t[[#This Row],[Male]]+Data_Vulnerability_t[[#This Row],[Female]]</f>
        <v>0</v>
      </c>
      <c r="I125" s="271" t="s">
        <v>273</v>
      </c>
      <c r="J125" s="673">
        <v>43373</v>
      </c>
      <c r="K125" s="919"/>
    </row>
    <row r="126" spans="1:15" x14ac:dyDescent="0.2">
      <c r="A126" s="274" t="s">
        <v>7</v>
      </c>
      <c r="B126" s="290" t="s">
        <v>17</v>
      </c>
      <c r="C126" s="275" t="s">
        <v>65</v>
      </c>
      <c r="D126" s="275" t="str">
        <f ca="1">IFERROR(OFFSET(Camp_List[P_Code],MATCH(Data_Vulnerability_t[[#This Row],[Camp Name]],Camp_List[Camp Name],0)-1,0,1,1),"")</f>
        <v>MMR012CMP045</v>
      </c>
      <c r="E126" s="276" t="s">
        <v>1010</v>
      </c>
      <c r="F126" s="922"/>
      <c r="G126" s="922">
        <v>212</v>
      </c>
      <c r="H126" s="1076">
        <f>Data_Vulnerability_t[[#This Row],[Male]]+Data_Vulnerability_t[[#This Row],[Female]]</f>
        <v>212</v>
      </c>
      <c r="I126" s="271" t="s">
        <v>273</v>
      </c>
      <c r="J126" s="673">
        <v>43373</v>
      </c>
      <c r="K126" s="919"/>
    </row>
    <row r="127" spans="1:15" x14ac:dyDescent="0.2">
      <c r="A127" s="274" t="s">
        <v>7</v>
      </c>
      <c r="B127" s="290" t="s">
        <v>17</v>
      </c>
      <c r="C127" s="275" t="s">
        <v>65</v>
      </c>
      <c r="D127" s="323" t="str">
        <f ca="1">IFERROR(OFFSET(Camp_List[P_Code],MATCH(Data_Vulnerability_t[[#This Row],[Camp Name]],Camp_List[Camp Name],0)-1,0,1,1),"")</f>
        <v>MMR012CMP045</v>
      </c>
      <c r="E127" s="276" t="s">
        <v>774</v>
      </c>
      <c r="F127" s="922"/>
      <c r="G127" s="922">
        <v>772</v>
      </c>
      <c r="H127" s="1076">
        <f>Data_Vulnerability_t[[#This Row],[Male]]+Data_Vulnerability_t[[#This Row],[Female]]</f>
        <v>772</v>
      </c>
      <c r="I127" s="271" t="s">
        <v>273</v>
      </c>
      <c r="J127" s="673">
        <v>43373</v>
      </c>
      <c r="K127" s="919"/>
    </row>
    <row r="128" spans="1:15" x14ac:dyDescent="0.2">
      <c r="A128" s="274" t="s">
        <v>7</v>
      </c>
      <c r="B128" s="290" t="s">
        <v>13</v>
      </c>
      <c r="C128" s="275" t="s">
        <v>41</v>
      </c>
      <c r="D128" s="275" t="str">
        <f ca="1">IFERROR(OFFSET(Camp_List[P_Code],MATCH(Data_Vulnerability_t[[#This Row],[Camp Name]],Camp_List[Camp Name],0)-1,0,1,1),"")</f>
        <v>MMR012CMP019</v>
      </c>
      <c r="E128" s="276" t="s">
        <v>1003</v>
      </c>
      <c r="F128" s="922">
        <v>33</v>
      </c>
      <c r="G128" s="922">
        <v>50</v>
      </c>
      <c r="H128" s="1076">
        <f>Data_Vulnerability_t[[#This Row],[Male]]+Data_Vulnerability_t[[#This Row],[Female]]</f>
        <v>83</v>
      </c>
      <c r="I128" s="271" t="s">
        <v>273</v>
      </c>
      <c r="J128" s="673">
        <v>43373</v>
      </c>
      <c r="K128" s="919"/>
    </row>
    <row r="129" spans="1:11" x14ac:dyDescent="0.2">
      <c r="A129" s="274" t="s">
        <v>7</v>
      </c>
      <c r="B129" s="290" t="s">
        <v>13</v>
      </c>
      <c r="C129" s="275" t="s">
        <v>41</v>
      </c>
      <c r="D129" s="275" t="str">
        <f ca="1">IFERROR(OFFSET(Camp_List[P_Code],MATCH(Data_Vulnerability_t[[#This Row],[Camp Name]],Camp_List[Camp Name],0)-1,0,1,1),"")</f>
        <v>MMR012CMP019</v>
      </c>
      <c r="E129" s="276" t="s">
        <v>1004</v>
      </c>
      <c r="F129" s="922">
        <v>0</v>
      </c>
      <c r="G129" s="922">
        <v>0</v>
      </c>
      <c r="H129" s="1076">
        <f>Data_Vulnerability_t[[#This Row],[Male]]+Data_Vulnerability_t[[#This Row],[Female]]</f>
        <v>0</v>
      </c>
      <c r="I129" s="271" t="s">
        <v>273</v>
      </c>
      <c r="J129" s="673">
        <v>43373</v>
      </c>
      <c r="K129" s="919"/>
    </row>
    <row r="130" spans="1:11" x14ac:dyDescent="0.2">
      <c r="A130" s="274" t="s">
        <v>7</v>
      </c>
      <c r="B130" s="290" t="s">
        <v>13</v>
      </c>
      <c r="C130" s="275" t="s">
        <v>41</v>
      </c>
      <c r="D130" s="275" t="str">
        <f ca="1">IFERROR(OFFSET(Camp_List[P_Code],MATCH(Data_Vulnerability_t[[#This Row],[Camp Name]],Camp_List[Camp Name],0)-1,0,1,1),"")</f>
        <v>MMR012CMP019</v>
      </c>
      <c r="E130" s="276" t="s">
        <v>1005</v>
      </c>
      <c r="F130" s="922">
        <v>7</v>
      </c>
      <c r="G130" s="922">
        <v>5</v>
      </c>
      <c r="H130" s="1076">
        <f>Data_Vulnerability_t[[#This Row],[Male]]+Data_Vulnerability_t[[#This Row],[Female]]</f>
        <v>12</v>
      </c>
      <c r="I130" s="271" t="s">
        <v>273</v>
      </c>
      <c r="J130" s="673">
        <v>43373</v>
      </c>
      <c r="K130" s="919"/>
    </row>
    <row r="131" spans="1:11" x14ac:dyDescent="0.2">
      <c r="A131" s="274" t="s">
        <v>7</v>
      </c>
      <c r="B131" s="290" t="s">
        <v>13</v>
      </c>
      <c r="C131" s="275" t="s">
        <v>41</v>
      </c>
      <c r="D131" s="275" t="str">
        <f ca="1">IFERROR(OFFSET(Camp_List[P_Code],MATCH(Data_Vulnerability_t[[#This Row],[Camp Name]],Camp_List[Camp Name],0)-1,0,1,1),"")</f>
        <v>MMR012CMP019</v>
      </c>
      <c r="E131" s="276" t="s">
        <v>1006</v>
      </c>
      <c r="F131" s="922">
        <v>0</v>
      </c>
      <c r="G131" s="922">
        <v>0</v>
      </c>
      <c r="H131" s="1076">
        <f>Data_Vulnerability_t[[#This Row],[Male]]+Data_Vulnerability_t[[#This Row],[Female]]</f>
        <v>0</v>
      </c>
      <c r="I131" s="271" t="s">
        <v>273</v>
      </c>
      <c r="J131" s="673">
        <v>43373</v>
      </c>
      <c r="K131" s="919"/>
    </row>
    <row r="132" spans="1:11" x14ac:dyDescent="0.2">
      <c r="A132" s="274" t="s">
        <v>7</v>
      </c>
      <c r="B132" s="290" t="s">
        <v>13</v>
      </c>
      <c r="C132" s="275" t="s">
        <v>41</v>
      </c>
      <c r="D132" s="275" t="str">
        <f ca="1">IFERROR(OFFSET(Camp_List[P_Code],MATCH(Data_Vulnerability_t[[#This Row],[Camp Name]],Camp_List[Camp Name],0)-1,0,1,1),"")</f>
        <v>MMR012CMP019</v>
      </c>
      <c r="E132" s="276" t="s">
        <v>1007</v>
      </c>
      <c r="F132" s="922">
        <v>0</v>
      </c>
      <c r="G132" s="922">
        <v>0</v>
      </c>
      <c r="H132" s="1076">
        <f>Data_Vulnerability_t[[#This Row],[Male]]+Data_Vulnerability_t[[#This Row],[Female]]</f>
        <v>0</v>
      </c>
      <c r="I132" s="271" t="s">
        <v>273</v>
      </c>
      <c r="J132" s="673">
        <v>43373</v>
      </c>
      <c r="K132" s="919"/>
    </row>
    <row r="133" spans="1:11" x14ac:dyDescent="0.2">
      <c r="A133" s="274" t="s">
        <v>7</v>
      </c>
      <c r="B133" s="290" t="s">
        <v>13</v>
      </c>
      <c r="C133" s="275" t="s">
        <v>41</v>
      </c>
      <c r="D133" s="275" t="str">
        <f ca="1">IFERROR(OFFSET(Camp_List[P_Code],MATCH(Data_Vulnerability_t[[#This Row],[Camp Name]],Camp_List[Camp Name],0)-1,0,1,1),"")</f>
        <v>MMR012CMP019</v>
      </c>
      <c r="E133" s="276" t="s">
        <v>1008</v>
      </c>
      <c r="F133" s="922">
        <v>0</v>
      </c>
      <c r="G133" s="922">
        <v>0</v>
      </c>
      <c r="H133" s="1076">
        <f>Data_Vulnerability_t[[#This Row],[Male]]+Data_Vulnerability_t[[#This Row],[Female]]</f>
        <v>0</v>
      </c>
      <c r="I133" s="271" t="s">
        <v>273</v>
      </c>
      <c r="J133" s="673">
        <v>43373</v>
      </c>
      <c r="K133" s="919"/>
    </row>
    <row r="134" spans="1:11" x14ac:dyDescent="0.2">
      <c r="A134" s="274" t="s">
        <v>7</v>
      </c>
      <c r="B134" s="290" t="s">
        <v>13</v>
      </c>
      <c r="C134" s="275" t="s">
        <v>41</v>
      </c>
      <c r="D134" s="275" t="str">
        <f ca="1">IFERROR(OFFSET(Camp_List[P_Code],MATCH(Data_Vulnerability_t[[#This Row],[Camp Name]],Camp_List[Camp Name],0)-1,0,1,1),"")</f>
        <v>MMR012CMP019</v>
      </c>
      <c r="E134" s="276" t="s">
        <v>1009</v>
      </c>
      <c r="F134" s="922">
        <v>0</v>
      </c>
      <c r="G134" s="922">
        <v>0</v>
      </c>
      <c r="H134" s="1076">
        <f>Data_Vulnerability_t[[#This Row],[Male]]+Data_Vulnerability_t[[#This Row],[Female]]</f>
        <v>0</v>
      </c>
      <c r="I134" s="271" t="s">
        <v>273</v>
      </c>
      <c r="J134" s="673">
        <v>43373</v>
      </c>
      <c r="K134" s="919"/>
    </row>
    <row r="135" spans="1:11" x14ac:dyDescent="0.2">
      <c r="A135" s="274" t="s">
        <v>7</v>
      </c>
      <c r="B135" s="290" t="s">
        <v>13</v>
      </c>
      <c r="C135" s="275" t="s">
        <v>41</v>
      </c>
      <c r="D135" s="275" t="str">
        <f ca="1">IFERROR(OFFSET(Camp_List[P_Code],MATCH(Data_Vulnerability_t[[#This Row],[Camp Name]],Camp_List[Camp Name],0)-1,0,1,1),"")</f>
        <v>MMR012CMP019</v>
      </c>
      <c r="E135" s="276" t="s">
        <v>1010</v>
      </c>
      <c r="F135" s="922"/>
      <c r="G135" s="922">
        <v>25</v>
      </c>
      <c r="H135" s="1076">
        <f>Data_Vulnerability_t[[#This Row],[Male]]+Data_Vulnerability_t[[#This Row],[Female]]</f>
        <v>25</v>
      </c>
      <c r="I135" s="271" t="s">
        <v>273</v>
      </c>
      <c r="J135" s="673">
        <v>43373</v>
      </c>
      <c r="K135" s="919"/>
    </row>
    <row r="136" spans="1:11" x14ac:dyDescent="0.2">
      <c r="A136" s="274" t="s">
        <v>7</v>
      </c>
      <c r="B136" s="290" t="s">
        <v>13</v>
      </c>
      <c r="C136" s="275" t="s">
        <v>41</v>
      </c>
      <c r="D136" s="323" t="str">
        <f ca="1">IFERROR(OFFSET(Camp_List[P_Code],MATCH(Data_Vulnerability_t[[#This Row],[Camp Name]],Camp_List[Camp Name],0)-1,0,1,1),"")</f>
        <v>MMR012CMP019</v>
      </c>
      <c r="E136" s="276" t="s">
        <v>774</v>
      </c>
      <c r="F136" s="922"/>
      <c r="G136" s="922">
        <v>260</v>
      </c>
      <c r="H136" s="1076">
        <f>Data_Vulnerability_t[[#This Row],[Male]]+Data_Vulnerability_t[[#This Row],[Female]]</f>
        <v>260</v>
      </c>
      <c r="I136" s="271" t="s">
        <v>273</v>
      </c>
      <c r="J136" s="673">
        <v>43373</v>
      </c>
      <c r="K136" s="919"/>
    </row>
    <row r="137" spans="1:11" x14ac:dyDescent="0.2">
      <c r="A137" s="274" t="s">
        <v>7</v>
      </c>
      <c r="B137" s="290" t="s">
        <v>814</v>
      </c>
      <c r="C137" s="275" t="s">
        <v>36</v>
      </c>
      <c r="D137" s="323" t="s">
        <v>122</v>
      </c>
      <c r="E137" s="276" t="s">
        <v>1003</v>
      </c>
      <c r="F137" s="922">
        <v>20</v>
      </c>
      <c r="G137" s="922">
        <v>20</v>
      </c>
      <c r="H137" s="1076">
        <f>Data_Vulnerability_t[[#This Row],[Male]]+Data_Vulnerability_t[[#This Row],[Female]]</f>
        <v>40</v>
      </c>
      <c r="I137" s="271" t="s">
        <v>658</v>
      </c>
      <c r="J137" s="673">
        <v>43373</v>
      </c>
      <c r="K137" s="919"/>
    </row>
    <row r="138" spans="1:11" x14ac:dyDescent="0.2">
      <c r="A138" s="274" t="s">
        <v>7</v>
      </c>
      <c r="B138" s="290" t="s">
        <v>814</v>
      </c>
      <c r="C138" s="275" t="s">
        <v>36</v>
      </c>
      <c r="D138" s="323" t="s">
        <v>122</v>
      </c>
      <c r="E138" s="276" t="s">
        <v>1004</v>
      </c>
      <c r="F138" s="922">
        <v>5</v>
      </c>
      <c r="G138" s="922">
        <v>8</v>
      </c>
      <c r="H138" s="1076">
        <f>Data_Vulnerability_t[[#This Row],[Male]]+Data_Vulnerability_t[[#This Row],[Female]]</f>
        <v>13</v>
      </c>
      <c r="I138" s="271" t="s">
        <v>658</v>
      </c>
      <c r="J138" s="673">
        <v>43373</v>
      </c>
      <c r="K138" s="919"/>
    </row>
    <row r="139" spans="1:11" x14ac:dyDescent="0.2">
      <c r="A139" s="274" t="s">
        <v>7</v>
      </c>
      <c r="B139" s="290" t="s">
        <v>814</v>
      </c>
      <c r="C139" s="275" t="s">
        <v>36</v>
      </c>
      <c r="D139" s="323" t="s">
        <v>122</v>
      </c>
      <c r="E139" s="276" t="s">
        <v>1005</v>
      </c>
      <c r="F139" s="922">
        <v>5</v>
      </c>
      <c r="G139" s="922">
        <v>3</v>
      </c>
      <c r="H139" s="1076">
        <f>Data_Vulnerability_t[[#This Row],[Male]]+Data_Vulnerability_t[[#This Row],[Female]]</f>
        <v>8</v>
      </c>
      <c r="I139" s="271" t="s">
        <v>658</v>
      </c>
      <c r="J139" s="673">
        <v>43373</v>
      </c>
      <c r="K139" s="919"/>
    </row>
    <row r="140" spans="1:11" x14ac:dyDescent="0.2">
      <c r="A140" s="274" t="s">
        <v>7</v>
      </c>
      <c r="B140" s="290" t="s">
        <v>814</v>
      </c>
      <c r="C140" s="275" t="s">
        <v>36</v>
      </c>
      <c r="D140" s="323" t="s">
        <v>122</v>
      </c>
      <c r="E140" s="276" t="s">
        <v>1006</v>
      </c>
      <c r="F140" s="922">
        <v>0</v>
      </c>
      <c r="G140" s="922">
        <v>0</v>
      </c>
      <c r="H140" s="1076">
        <f>Data_Vulnerability_t[[#This Row],[Male]]+Data_Vulnerability_t[[#This Row],[Female]]</f>
        <v>0</v>
      </c>
      <c r="I140" s="271" t="s">
        <v>658</v>
      </c>
      <c r="J140" s="673">
        <v>43373</v>
      </c>
      <c r="K140" s="919"/>
    </row>
    <row r="141" spans="1:11" x14ac:dyDescent="0.2">
      <c r="A141" s="274" t="s">
        <v>7</v>
      </c>
      <c r="B141" s="290" t="s">
        <v>814</v>
      </c>
      <c r="C141" s="275" t="s">
        <v>36</v>
      </c>
      <c r="D141" s="323" t="s">
        <v>122</v>
      </c>
      <c r="E141" s="276" t="s">
        <v>1007</v>
      </c>
      <c r="F141" s="922">
        <v>0</v>
      </c>
      <c r="G141" s="922">
        <v>0</v>
      </c>
      <c r="H141" s="1076">
        <f>Data_Vulnerability_t[[#This Row],[Male]]+Data_Vulnerability_t[[#This Row],[Female]]</f>
        <v>0</v>
      </c>
      <c r="I141" s="271" t="s">
        <v>658</v>
      </c>
      <c r="J141" s="673">
        <v>43373</v>
      </c>
      <c r="K141" s="919"/>
    </row>
    <row r="142" spans="1:11" x14ac:dyDescent="0.2">
      <c r="A142" s="274" t="s">
        <v>7</v>
      </c>
      <c r="B142" s="290" t="s">
        <v>814</v>
      </c>
      <c r="C142" s="275" t="s">
        <v>36</v>
      </c>
      <c r="D142" s="275" t="str">
        <f ca="1">IFERROR(OFFSET(Camp_List[P_Code],MATCH(Data_Vulnerability_t[[#This Row],[Camp Name]],Camp_List[Camp Name],0)-1,0,1,1),"")</f>
        <v>MMR012CMP014</v>
      </c>
      <c r="E142" s="276" t="s">
        <v>1143</v>
      </c>
      <c r="F142" s="922">
        <v>1</v>
      </c>
      <c r="G142" s="922">
        <v>0</v>
      </c>
      <c r="H142" s="1076">
        <f>Data_Vulnerability_t[[#This Row],[Male]]+Data_Vulnerability_t[[#This Row],[Female]]</f>
        <v>1</v>
      </c>
      <c r="I142" s="271" t="s">
        <v>658</v>
      </c>
      <c r="J142" s="673">
        <v>43373</v>
      </c>
      <c r="K142" s="919"/>
    </row>
    <row r="143" spans="1:11" x14ac:dyDescent="0.2">
      <c r="A143" s="274" t="s">
        <v>7</v>
      </c>
      <c r="B143" s="290" t="s">
        <v>814</v>
      </c>
      <c r="C143" s="275" t="s">
        <v>36</v>
      </c>
      <c r="D143" s="275" t="str">
        <f ca="1">IFERROR(OFFSET(Camp_List[P_Code],MATCH(Data_Vulnerability_t[[#This Row],[Camp Name]],Camp_List[Camp Name],0)-1,0,1,1),"")</f>
        <v>MMR012CMP014</v>
      </c>
      <c r="E143" s="276" t="s">
        <v>1009</v>
      </c>
      <c r="F143" s="922">
        <v>11</v>
      </c>
      <c r="G143" s="922">
        <v>134</v>
      </c>
      <c r="H143" s="1076">
        <f>Data_Vulnerability_t[[#This Row],[Male]]+Data_Vulnerability_t[[#This Row],[Female]]</f>
        <v>145</v>
      </c>
      <c r="I143" s="271" t="s">
        <v>658</v>
      </c>
      <c r="J143" s="673">
        <v>43373</v>
      </c>
      <c r="K143" s="919"/>
    </row>
    <row r="144" spans="1:11" x14ac:dyDescent="0.2">
      <c r="A144" s="274" t="s">
        <v>7</v>
      </c>
      <c r="B144" s="290" t="s">
        <v>814</v>
      </c>
      <c r="C144" s="275" t="s">
        <v>36</v>
      </c>
      <c r="D144" s="275" t="str">
        <f ca="1">IFERROR(OFFSET(Camp_List[P_Code],MATCH(Data_Vulnerability_t[[#This Row],[Camp Name]],Camp_List[Camp Name],0)-1,0,1,1),"")</f>
        <v>MMR012CMP014</v>
      </c>
      <c r="E144" s="276" t="s">
        <v>1010</v>
      </c>
      <c r="F144" s="922"/>
      <c r="G144" s="922">
        <v>24</v>
      </c>
      <c r="H144" s="1076">
        <f>Data_Vulnerability_t[[#This Row],[Male]]+Data_Vulnerability_t[[#This Row],[Female]]</f>
        <v>24</v>
      </c>
      <c r="I144" s="271" t="s">
        <v>658</v>
      </c>
      <c r="J144" s="673">
        <v>43373</v>
      </c>
      <c r="K144" s="919"/>
    </row>
    <row r="145" spans="1:11" x14ac:dyDescent="0.2">
      <c r="A145" s="274" t="s">
        <v>7</v>
      </c>
      <c r="B145" s="290" t="s">
        <v>814</v>
      </c>
      <c r="C145" s="275" t="s">
        <v>36</v>
      </c>
      <c r="D145" s="275" t="str">
        <f ca="1">IFERROR(OFFSET(Camp_List[P_Code],MATCH(Data_Vulnerability_t[[#This Row],[Camp Name]],Camp_List[Camp Name],0)-1,0,1,1),"")</f>
        <v>MMR012CMP014</v>
      </c>
      <c r="E145" s="276" t="s">
        <v>774</v>
      </c>
      <c r="F145" s="922"/>
      <c r="G145" s="922">
        <v>122</v>
      </c>
      <c r="H145" s="1076">
        <f>Data_Vulnerability_t[[#This Row],[Male]]+Data_Vulnerability_t[[#This Row],[Female]]</f>
        <v>122</v>
      </c>
      <c r="I145" s="271" t="s">
        <v>658</v>
      </c>
      <c r="J145" s="673">
        <v>43373</v>
      </c>
      <c r="K145" s="919"/>
    </row>
    <row r="146" spans="1:11" x14ac:dyDescent="0.2">
      <c r="A146" s="274" t="s">
        <v>7</v>
      </c>
      <c r="B146" s="290" t="s">
        <v>17</v>
      </c>
      <c r="C146" s="275" t="s">
        <v>66</v>
      </c>
      <c r="D146" s="275" t="str">
        <f ca="1">IFERROR(OFFSET(Camp_List[P_Code],MATCH(Data_Vulnerability_t[[#This Row],[Camp Name]],Camp_List[Camp Name],0)-1,0,1,1),"")</f>
        <v>MMR012CMP046</v>
      </c>
      <c r="E146" s="276" t="s">
        <v>1003</v>
      </c>
      <c r="F146" s="922">
        <v>53</v>
      </c>
      <c r="G146" s="922">
        <v>49</v>
      </c>
      <c r="H146" s="1076">
        <f>Data_Vulnerability_t[[#This Row],[Male]]+Data_Vulnerability_t[[#This Row],[Female]]</f>
        <v>102</v>
      </c>
      <c r="I146" s="271" t="s">
        <v>575</v>
      </c>
      <c r="J146" s="673">
        <v>43373</v>
      </c>
      <c r="K146" s="919"/>
    </row>
    <row r="147" spans="1:11" x14ac:dyDescent="0.2">
      <c r="A147" s="274" t="s">
        <v>7</v>
      </c>
      <c r="B147" s="290" t="s">
        <v>17</v>
      </c>
      <c r="C147" s="275" t="s">
        <v>66</v>
      </c>
      <c r="D147" s="275" t="str">
        <f ca="1">IFERROR(OFFSET(Camp_List[P_Code],MATCH(Data_Vulnerability_t[[#This Row],[Camp Name]],Camp_List[Camp Name],0)-1,0,1,1),"")</f>
        <v>MMR012CMP046</v>
      </c>
      <c r="E147" s="276" t="s">
        <v>1004</v>
      </c>
      <c r="F147" s="922">
        <v>31</v>
      </c>
      <c r="G147" s="922">
        <v>23</v>
      </c>
      <c r="H147" s="1076">
        <f>Data_Vulnerability_t[[#This Row],[Male]]+Data_Vulnerability_t[[#This Row],[Female]]</f>
        <v>54</v>
      </c>
      <c r="I147" s="271" t="s">
        <v>575</v>
      </c>
      <c r="J147" s="673">
        <v>43373</v>
      </c>
      <c r="K147" s="919"/>
    </row>
    <row r="148" spans="1:11" x14ac:dyDescent="0.2">
      <c r="A148" s="274" t="s">
        <v>7</v>
      </c>
      <c r="B148" s="290" t="s">
        <v>17</v>
      </c>
      <c r="C148" s="275" t="s">
        <v>66</v>
      </c>
      <c r="D148" s="275" t="str">
        <f ca="1">IFERROR(OFFSET(Camp_List[P_Code],MATCH(Data_Vulnerability_t[[#This Row],[Camp Name]],Camp_List[Camp Name],0)-1,0,1,1),"")</f>
        <v>MMR012CMP046</v>
      </c>
      <c r="E148" s="276" t="s">
        <v>1005</v>
      </c>
      <c r="F148" s="922">
        <v>4</v>
      </c>
      <c r="G148" s="922">
        <v>15</v>
      </c>
      <c r="H148" s="1076">
        <f>Data_Vulnerability_t[[#This Row],[Male]]+Data_Vulnerability_t[[#This Row],[Female]]</f>
        <v>19</v>
      </c>
      <c r="I148" s="271" t="s">
        <v>575</v>
      </c>
      <c r="J148" s="673">
        <v>43373</v>
      </c>
      <c r="K148" s="919"/>
    </row>
    <row r="149" spans="1:11" x14ac:dyDescent="0.2">
      <c r="A149" s="274" t="s">
        <v>7</v>
      </c>
      <c r="B149" s="290" t="s">
        <v>17</v>
      </c>
      <c r="C149" s="275" t="s">
        <v>66</v>
      </c>
      <c r="D149" s="275" t="str">
        <f ca="1">IFERROR(OFFSET(Camp_List[P_Code],MATCH(Data_Vulnerability_t[[#This Row],[Camp Name]],Camp_List[Camp Name],0)-1,0,1,1),"")</f>
        <v>MMR012CMP046</v>
      </c>
      <c r="E149" s="276" t="s">
        <v>1006</v>
      </c>
      <c r="F149" s="922">
        <v>5</v>
      </c>
      <c r="G149" s="922">
        <v>5</v>
      </c>
      <c r="H149" s="1076">
        <f>Data_Vulnerability_t[[#This Row],[Male]]+Data_Vulnerability_t[[#This Row],[Female]]</f>
        <v>10</v>
      </c>
      <c r="I149" s="271" t="s">
        <v>575</v>
      </c>
      <c r="J149" s="673">
        <v>43373</v>
      </c>
      <c r="K149" s="919"/>
    </row>
    <row r="150" spans="1:11" x14ac:dyDescent="0.2">
      <c r="A150" s="274" t="s">
        <v>7</v>
      </c>
      <c r="B150" s="290" t="s">
        <v>17</v>
      </c>
      <c r="C150" s="275" t="s">
        <v>66</v>
      </c>
      <c r="D150" s="275" t="str">
        <f ca="1">IFERROR(OFFSET(Camp_List[P_Code],MATCH(Data_Vulnerability_t[[#This Row],[Camp Name]],Camp_List[Camp Name],0)-1,0,1,1),"")</f>
        <v>MMR012CMP046</v>
      </c>
      <c r="E150" s="276" t="s">
        <v>1007</v>
      </c>
      <c r="F150" s="922">
        <v>6</v>
      </c>
      <c r="G150" s="922">
        <v>7</v>
      </c>
      <c r="H150" s="1076">
        <f>Data_Vulnerability_t[[#This Row],[Male]]+Data_Vulnerability_t[[#This Row],[Female]]</f>
        <v>13</v>
      </c>
      <c r="I150" s="271" t="s">
        <v>575</v>
      </c>
      <c r="J150" s="673">
        <v>43373</v>
      </c>
      <c r="K150" s="919"/>
    </row>
    <row r="151" spans="1:11" x14ac:dyDescent="0.2">
      <c r="A151" s="274" t="s">
        <v>7</v>
      </c>
      <c r="B151" s="290" t="s">
        <v>17</v>
      </c>
      <c r="C151" s="275" t="s">
        <v>66</v>
      </c>
      <c r="D151" s="275" t="str">
        <f ca="1">IFERROR(OFFSET(Camp_List[P_Code],MATCH(Data_Vulnerability_t[[#This Row],[Camp Name]],Camp_List[Camp Name],0)-1,0,1,1),"")</f>
        <v>MMR012CMP046</v>
      </c>
      <c r="E151" s="276" t="s">
        <v>1008</v>
      </c>
      <c r="F151" s="922">
        <v>169</v>
      </c>
      <c r="G151" s="922">
        <v>167</v>
      </c>
      <c r="H151" s="1076">
        <f>Data_Vulnerability_t[[#This Row],[Male]]+Data_Vulnerability_t[[#This Row],[Female]]</f>
        <v>336</v>
      </c>
      <c r="I151" s="271" t="s">
        <v>575</v>
      </c>
      <c r="J151" s="673">
        <v>43373</v>
      </c>
      <c r="K151" s="919"/>
    </row>
    <row r="152" spans="1:11" x14ac:dyDescent="0.2">
      <c r="A152" s="387" t="s">
        <v>7</v>
      </c>
      <c r="B152" s="391" t="s">
        <v>17</v>
      </c>
      <c r="C152" s="130" t="s">
        <v>66</v>
      </c>
      <c r="D152" s="323" t="str">
        <f ca="1">IFERROR(OFFSET(Camp_List[P_Code],MATCH(Data_Vulnerability_t[[#This Row],[Camp Name]],Camp_List[Camp Name],0)-1,0,1,1),"")</f>
        <v>MMR012CMP046</v>
      </c>
      <c r="E152" s="389" t="s">
        <v>1009</v>
      </c>
      <c r="F152" s="922">
        <v>15</v>
      </c>
      <c r="G152" s="922">
        <v>25</v>
      </c>
      <c r="H152" s="1076">
        <f>Data_Vulnerability_t[[#This Row],[Male]]+Data_Vulnerability_t[[#This Row],[Female]]</f>
        <v>40</v>
      </c>
      <c r="I152" s="388" t="s">
        <v>575</v>
      </c>
      <c r="J152" s="673">
        <v>43373</v>
      </c>
      <c r="K152" s="919"/>
    </row>
    <row r="153" spans="1:11" x14ac:dyDescent="0.2">
      <c r="A153" s="387" t="s">
        <v>7</v>
      </c>
      <c r="B153" s="391" t="s">
        <v>17</v>
      </c>
      <c r="C153" s="130" t="s">
        <v>66</v>
      </c>
      <c r="D153" s="323" t="str">
        <f ca="1">IFERROR(OFFSET(Camp_List[P_Code],MATCH(Data_Vulnerability_t[[#This Row],[Camp Name]],Camp_List[Camp Name],0)-1,0,1,1),"")</f>
        <v>MMR012CMP046</v>
      </c>
      <c r="E153" s="389" t="s">
        <v>1010</v>
      </c>
      <c r="F153" s="922"/>
      <c r="G153" s="922">
        <v>77</v>
      </c>
      <c r="H153" s="1076">
        <f>Data_Vulnerability_t[[#This Row],[Male]]+Data_Vulnerability_t[[#This Row],[Female]]</f>
        <v>77</v>
      </c>
      <c r="I153" s="388" t="s">
        <v>575</v>
      </c>
      <c r="J153" s="673">
        <v>43373</v>
      </c>
      <c r="K153" s="919"/>
    </row>
    <row r="154" spans="1:11" x14ac:dyDescent="0.2">
      <c r="A154" s="387" t="s">
        <v>7</v>
      </c>
      <c r="B154" s="391" t="s">
        <v>17</v>
      </c>
      <c r="C154" s="130" t="s">
        <v>66</v>
      </c>
      <c r="D154" s="323" t="str">
        <f ca="1">IFERROR(OFFSET(Camp_List[P_Code],MATCH(Data_Vulnerability_t[[#This Row],[Camp Name]],Camp_List[Camp Name],0)-1,0,1,1),"")</f>
        <v>MMR012CMP046</v>
      </c>
      <c r="E154" s="389" t="s">
        <v>774</v>
      </c>
      <c r="F154" s="922"/>
      <c r="G154" s="922">
        <v>360</v>
      </c>
      <c r="H154" s="1076">
        <f>Data_Vulnerability_t[[#This Row],[Male]]+Data_Vulnerability_t[[#This Row],[Female]]</f>
        <v>360</v>
      </c>
      <c r="I154" s="388" t="s">
        <v>575</v>
      </c>
      <c r="J154" s="673">
        <v>43373</v>
      </c>
      <c r="K154" s="919"/>
    </row>
    <row r="155" spans="1:11" x14ac:dyDescent="0.2">
      <c r="A155" s="387" t="s">
        <v>7</v>
      </c>
      <c r="B155" s="391" t="s">
        <v>13</v>
      </c>
      <c r="C155" s="130" t="s">
        <v>981</v>
      </c>
      <c r="D155" s="323" t="str">
        <f ca="1">IFERROR(OFFSET(Camp_List[P_Code],MATCH(Data_Vulnerability_t[[#This Row],[Camp Name]],Camp_List[Camp Name],0)-1,0,1,1),"")</f>
        <v>MMR012CMP017</v>
      </c>
      <c r="E155" s="389" t="s">
        <v>1003</v>
      </c>
      <c r="F155" s="922">
        <v>51</v>
      </c>
      <c r="G155" s="922">
        <v>17</v>
      </c>
      <c r="H155" s="1076">
        <f>Data_Vulnerability_t[[#This Row],[Male]]+Data_Vulnerability_t[[#This Row],[Female]]</f>
        <v>68</v>
      </c>
      <c r="I155" s="388" t="s">
        <v>575</v>
      </c>
      <c r="J155" s="673">
        <v>43373</v>
      </c>
      <c r="K155" s="919"/>
    </row>
    <row r="156" spans="1:11" x14ac:dyDescent="0.2">
      <c r="A156" s="387" t="s">
        <v>7</v>
      </c>
      <c r="B156" s="391" t="s">
        <v>13</v>
      </c>
      <c r="C156" s="130" t="s">
        <v>981</v>
      </c>
      <c r="D156" s="323" t="str">
        <f ca="1">IFERROR(OFFSET(Camp_List[P_Code],MATCH(Data_Vulnerability_t[[#This Row],[Camp Name]],Camp_List[Camp Name],0)-1,0,1,1),"")</f>
        <v>MMR012CMP017</v>
      </c>
      <c r="E156" s="389" t="s">
        <v>1004</v>
      </c>
      <c r="F156" s="922">
        <v>9</v>
      </c>
      <c r="G156" s="922">
        <v>13</v>
      </c>
      <c r="H156" s="1076">
        <f>Data_Vulnerability_t[[#This Row],[Male]]+Data_Vulnerability_t[[#This Row],[Female]]</f>
        <v>22</v>
      </c>
      <c r="I156" s="388" t="s">
        <v>575</v>
      </c>
      <c r="J156" s="673">
        <v>43373</v>
      </c>
      <c r="K156" s="919"/>
    </row>
    <row r="157" spans="1:11" x14ac:dyDescent="0.2">
      <c r="A157" s="387" t="s">
        <v>7</v>
      </c>
      <c r="B157" s="391" t="s">
        <v>13</v>
      </c>
      <c r="C157" s="130" t="s">
        <v>981</v>
      </c>
      <c r="D157" s="323" t="str">
        <f ca="1">IFERROR(OFFSET(Camp_List[P_Code],MATCH(Data_Vulnerability_t[[#This Row],[Camp Name]],Camp_List[Camp Name],0)-1,0,1,1),"")</f>
        <v>MMR012CMP017</v>
      </c>
      <c r="E157" s="389" t="s">
        <v>1005</v>
      </c>
      <c r="F157" s="922">
        <v>49</v>
      </c>
      <c r="G157" s="922">
        <v>36</v>
      </c>
      <c r="H157" s="1076">
        <f>Data_Vulnerability_t[[#This Row],[Male]]+Data_Vulnerability_t[[#This Row],[Female]]</f>
        <v>85</v>
      </c>
      <c r="I157" s="388" t="s">
        <v>575</v>
      </c>
      <c r="J157" s="673">
        <v>43373</v>
      </c>
      <c r="K157" s="919"/>
    </row>
    <row r="158" spans="1:11" x14ac:dyDescent="0.2">
      <c r="A158" s="387" t="s">
        <v>7</v>
      </c>
      <c r="B158" s="391" t="s">
        <v>13</v>
      </c>
      <c r="C158" s="130" t="s">
        <v>981</v>
      </c>
      <c r="D158" s="323" t="str">
        <f ca="1">IFERROR(OFFSET(Camp_List[P_Code],MATCH(Data_Vulnerability_t[[#This Row],[Camp Name]],Camp_List[Camp Name],0)-1,0,1,1),"")</f>
        <v>MMR012CMP017</v>
      </c>
      <c r="E158" s="389" t="s">
        <v>1006</v>
      </c>
      <c r="F158" s="922">
        <v>7</v>
      </c>
      <c r="G158" s="922">
        <v>2</v>
      </c>
      <c r="H158" s="1076">
        <f>Data_Vulnerability_t[[#This Row],[Male]]+Data_Vulnerability_t[[#This Row],[Female]]</f>
        <v>9</v>
      </c>
      <c r="I158" s="388" t="s">
        <v>575</v>
      </c>
      <c r="J158" s="673">
        <v>43373</v>
      </c>
      <c r="K158" s="919"/>
    </row>
    <row r="159" spans="1:11" x14ac:dyDescent="0.2">
      <c r="A159" s="387" t="s">
        <v>7</v>
      </c>
      <c r="B159" s="391" t="s">
        <v>13</v>
      </c>
      <c r="C159" s="130" t="s">
        <v>981</v>
      </c>
      <c r="D159" s="323" t="str">
        <f ca="1">IFERROR(OFFSET(Camp_List[P_Code],MATCH(Data_Vulnerability_t[[#This Row],[Camp Name]],Camp_List[Camp Name],0)-1,0,1,1),"")</f>
        <v>MMR012CMP017</v>
      </c>
      <c r="E159" s="389" t="s">
        <v>1007</v>
      </c>
      <c r="F159" s="922">
        <v>8</v>
      </c>
      <c r="G159" s="922">
        <v>0</v>
      </c>
      <c r="H159" s="1076">
        <f>Data_Vulnerability_t[[#This Row],[Male]]+Data_Vulnerability_t[[#This Row],[Female]]</f>
        <v>8</v>
      </c>
      <c r="I159" s="388" t="s">
        <v>575</v>
      </c>
      <c r="J159" s="673">
        <v>43373</v>
      </c>
      <c r="K159" s="919"/>
    </row>
    <row r="160" spans="1:11" x14ac:dyDescent="0.2">
      <c r="A160" s="387" t="s">
        <v>7</v>
      </c>
      <c r="B160" s="391" t="s">
        <v>13</v>
      </c>
      <c r="C160" s="130" t="s">
        <v>981</v>
      </c>
      <c r="D160" s="323" t="str">
        <f ca="1">IFERROR(OFFSET(Camp_List[P_Code],MATCH(Data_Vulnerability_t[[#This Row],[Camp Name]],Camp_List[Camp Name],0)-1,0,1,1),"")</f>
        <v>MMR012CMP017</v>
      </c>
      <c r="E160" s="389" t="s">
        <v>1008</v>
      </c>
      <c r="F160" s="922">
        <v>58</v>
      </c>
      <c r="G160" s="922">
        <v>5</v>
      </c>
      <c r="H160" s="1076">
        <f>Data_Vulnerability_t[[#This Row],[Male]]+Data_Vulnerability_t[[#This Row],[Female]]</f>
        <v>63</v>
      </c>
      <c r="I160" s="388" t="s">
        <v>575</v>
      </c>
      <c r="J160" s="673">
        <v>43373</v>
      </c>
      <c r="K160" s="919"/>
    </row>
    <row r="161" spans="1:11" x14ac:dyDescent="0.2">
      <c r="A161" s="387" t="s">
        <v>7</v>
      </c>
      <c r="B161" s="391" t="s">
        <v>13</v>
      </c>
      <c r="C161" s="130" t="s">
        <v>981</v>
      </c>
      <c r="D161" s="323" t="str">
        <f ca="1">IFERROR(OFFSET(Camp_List[P_Code],MATCH(Data_Vulnerability_t[[#This Row],[Camp Name]],Camp_List[Camp Name],0)-1,0,1,1),"")</f>
        <v>MMR012CMP017</v>
      </c>
      <c r="E161" s="389" t="s">
        <v>1009</v>
      </c>
      <c r="F161" s="922">
        <v>12</v>
      </c>
      <c r="G161" s="922">
        <v>134</v>
      </c>
      <c r="H161" s="1076">
        <f>Data_Vulnerability_t[[#This Row],[Male]]+Data_Vulnerability_t[[#This Row],[Female]]</f>
        <v>146</v>
      </c>
      <c r="I161" s="388" t="s">
        <v>575</v>
      </c>
      <c r="J161" s="673">
        <v>43373</v>
      </c>
      <c r="K161" s="919"/>
    </row>
    <row r="162" spans="1:11" x14ac:dyDescent="0.2">
      <c r="A162" s="387" t="s">
        <v>7</v>
      </c>
      <c r="B162" s="391" t="s">
        <v>13</v>
      </c>
      <c r="C162" s="130" t="s">
        <v>981</v>
      </c>
      <c r="D162" s="323" t="str">
        <f ca="1">IFERROR(OFFSET(Camp_List[P_Code],MATCH(Data_Vulnerability_t[[#This Row],[Camp Name]],Camp_List[Camp Name],0)-1,0,1,1),"")</f>
        <v>MMR012CMP017</v>
      </c>
      <c r="E162" s="393" t="s">
        <v>1010</v>
      </c>
      <c r="F162" s="923"/>
      <c r="G162" s="923">
        <v>134</v>
      </c>
      <c r="H162" s="1076">
        <f>Data_Vulnerability_t[[#This Row],[Male]]+Data_Vulnerability_t[[#This Row],[Female]]</f>
        <v>134</v>
      </c>
      <c r="I162" s="388" t="s">
        <v>575</v>
      </c>
      <c r="J162" s="673">
        <v>43373</v>
      </c>
      <c r="K162" s="919"/>
    </row>
    <row r="163" spans="1:11" x14ac:dyDescent="0.2">
      <c r="A163" s="387" t="s">
        <v>7</v>
      </c>
      <c r="B163" s="391" t="s">
        <v>13</v>
      </c>
      <c r="C163" s="130" t="s">
        <v>981</v>
      </c>
      <c r="D163" s="323" t="str">
        <f ca="1">IFERROR(OFFSET(Camp_List[P_Code],MATCH(Data_Vulnerability_t[[#This Row],[Camp Name]],Camp_List[Camp Name],0)-1,0,1,1),"")</f>
        <v>MMR012CMP017</v>
      </c>
      <c r="E163" s="393" t="s">
        <v>774</v>
      </c>
      <c r="F163" s="923"/>
      <c r="G163" s="923">
        <v>379</v>
      </c>
      <c r="H163" s="1076">
        <f>Data_Vulnerability_t[[#This Row],[Male]]+Data_Vulnerability_t[[#This Row],[Female]]</f>
        <v>379</v>
      </c>
      <c r="I163" s="388" t="s">
        <v>575</v>
      </c>
      <c r="J163" s="673">
        <v>43373</v>
      </c>
      <c r="K163" s="919"/>
    </row>
    <row r="164" spans="1:11" x14ac:dyDescent="0.2">
      <c r="A164" s="387" t="s">
        <v>7</v>
      </c>
      <c r="B164" s="391" t="s">
        <v>17</v>
      </c>
      <c r="C164" s="130" t="s">
        <v>68</v>
      </c>
      <c r="D164" s="323" t="str">
        <f ca="1">IFERROR(OFFSET(Camp_List[P_Code],MATCH(Data_Vulnerability_t[[#This Row],[Camp Name]],Camp_List[Camp Name],0)-1,0,1,1),"")</f>
        <v>MMR012CMP048</v>
      </c>
      <c r="E164" s="389" t="s">
        <v>1003</v>
      </c>
      <c r="F164" s="922">
        <v>13</v>
      </c>
      <c r="G164" s="922">
        <v>15</v>
      </c>
      <c r="H164" s="1076">
        <f>Data_Vulnerability_t[[#This Row],[Male]]+Data_Vulnerability_t[[#This Row],[Female]]</f>
        <v>28</v>
      </c>
      <c r="I164" s="388" t="s">
        <v>904</v>
      </c>
      <c r="J164" s="673">
        <v>43404</v>
      </c>
      <c r="K164" s="919"/>
    </row>
    <row r="165" spans="1:11" ht="12" customHeight="1" x14ac:dyDescent="0.2">
      <c r="A165" s="387" t="s">
        <v>7</v>
      </c>
      <c r="B165" s="391" t="s">
        <v>17</v>
      </c>
      <c r="C165" s="130" t="s">
        <v>68</v>
      </c>
      <c r="D165" s="323" t="str">
        <f ca="1">IFERROR(OFFSET(Camp_List[P_Code],MATCH(Data_Vulnerability_t[[#This Row],[Camp Name]],Camp_List[Camp Name],0)-1,0,1,1),"")</f>
        <v>MMR012CMP048</v>
      </c>
      <c r="E165" s="389" t="s">
        <v>1004</v>
      </c>
      <c r="F165" s="922">
        <v>8</v>
      </c>
      <c r="G165" s="922">
        <v>12</v>
      </c>
      <c r="H165" s="1076">
        <f>Data_Vulnerability_t[[#This Row],[Male]]+Data_Vulnerability_t[[#This Row],[Female]]</f>
        <v>20</v>
      </c>
      <c r="I165" s="388" t="s">
        <v>904</v>
      </c>
      <c r="J165" s="673">
        <v>43404</v>
      </c>
      <c r="K165" s="919"/>
    </row>
    <row r="166" spans="1:11" x14ac:dyDescent="0.2">
      <c r="A166" s="387" t="s">
        <v>7</v>
      </c>
      <c r="B166" s="391" t="s">
        <v>17</v>
      </c>
      <c r="C166" s="130" t="s">
        <v>68</v>
      </c>
      <c r="D166" s="323" t="str">
        <f ca="1">IFERROR(OFFSET(Camp_List[P_Code],MATCH(Data_Vulnerability_t[[#This Row],[Camp Name]],Camp_List[Camp Name],0)-1,0,1,1),"")</f>
        <v>MMR012CMP048</v>
      </c>
      <c r="E166" s="389" t="s">
        <v>1005</v>
      </c>
      <c r="F166" s="922">
        <v>28</v>
      </c>
      <c r="G166" s="922">
        <v>40</v>
      </c>
      <c r="H166" s="1076">
        <f>Data_Vulnerability_t[[#This Row],[Male]]+Data_Vulnerability_t[[#This Row],[Female]]</f>
        <v>68</v>
      </c>
      <c r="I166" s="388" t="s">
        <v>904</v>
      </c>
      <c r="J166" s="673">
        <v>43404</v>
      </c>
      <c r="K166" s="919"/>
    </row>
    <row r="167" spans="1:11" x14ac:dyDescent="0.2">
      <c r="A167" s="387" t="s">
        <v>7</v>
      </c>
      <c r="B167" s="391" t="s">
        <v>17</v>
      </c>
      <c r="C167" s="130" t="s">
        <v>68</v>
      </c>
      <c r="D167" s="323" t="str">
        <f ca="1">IFERROR(OFFSET(Camp_List[P_Code],MATCH(Data_Vulnerability_t[[#This Row],[Camp Name]],Camp_List[Camp Name],0)-1,0,1,1),"")</f>
        <v>MMR012CMP048</v>
      </c>
      <c r="E167" s="389" t="s">
        <v>1006</v>
      </c>
      <c r="F167" s="922">
        <v>8</v>
      </c>
      <c r="G167" s="922">
        <v>6</v>
      </c>
      <c r="H167" s="1076">
        <f>Data_Vulnerability_t[[#This Row],[Male]]+Data_Vulnerability_t[[#This Row],[Female]]</f>
        <v>14</v>
      </c>
      <c r="I167" s="388" t="s">
        <v>904</v>
      </c>
      <c r="J167" s="673">
        <v>43404</v>
      </c>
      <c r="K167" s="919"/>
    </row>
    <row r="168" spans="1:11" x14ac:dyDescent="0.2">
      <c r="A168" s="387" t="s">
        <v>7</v>
      </c>
      <c r="B168" s="391" t="s">
        <v>17</v>
      </c>
      <c r="C168" s="130" t="s">
        <v>68</v>
      </c>
      <c r="D168" s="323" t="str">
        <f ca="1">IFERROR(OFFSET(Camp_List[P_Code],MATCH(Data_Vulnerability_t[[#This Row],[Camp Name]],Camp_List[Camp Name],0)-1,0,1,1),"")</f>
        <v>MMR012CMP048</v>
      </c>
      <c r="E168" s="389" t="s">
        <v>1007</v>
      </c>
      <c r="F168" s="922">
        <v>11</v>
      </c>
      <c r="G168" s="922">
        <v>5</v>
      </c>
      <c r="H168" s="1076">
        <f>Data_Vulnerability_t[[#This Row],[Male]]+Data_Vulnerability_t[[#This Row],[Female]]</f>
        <v>16</v>
      </c>
      <c r="I168" s="388" t="s">
        <v>904</v>
      </c>
      <c r="J168" s="673">
        <v>43404</v>
      </c>
      <c r="K168" s="919"/>
    </row>
    <row r="169" spans="1:11" x14ac:dyDescent="0.2">
      <c r="A169" s="387" t="s">
        <v>7</v>
      </c>
      <c r="B169" s="391" t="s">
        <v>17</v>
      </c>
      <c r="C169" s="130" t="s">
        <v>68</v>
      </c>
      <c r="D169" s="323" t="str">
        <f ca="1">IFERROR(OFFSET(Camp_List[P_Code],MATCH(Data_Vulnerability_t[[#This Row],[Camp Name]],Camp_List[Camp Name],0)-1,0,1,1),"")</f>
        <v>MMR012CMP048</v>
      </c>
      <c r="E169" s="389" t="s">
        <v>1008</v>
      </c>
      <c r="F169" s="922">
        <v>27</v>
      </c>
      <c r="G169" s="922">
        <v>30</v>
      </c>
      <c r="H169" s="1076">
        <f>Data_Vulnerability_t[[#This Row],[Male]]+Data_Vulnerability_t[[#This Row],[Female]]</f>
        <v>57</v>
      </c>
      <c r="I169" s="388" t="s">
        <v>904</v>
      </c>
      <c r="J169" s="673">
        <v>43404</v>
      </c>
      <c r="K169" s="919"/>
    </row>
    <row r="170" spans="1:11" x14ac:dyDescent="0.2">
      <c r="A170" s="387" t="s">
        <v>7</v>
      </c>
      <c r="B170" s="391" t="s">
        <v>17</v>
      </c>
      <c r="C170" s="130" t="s">
        <v>68</v>
      </c>
      <c r="D170" s="323" t="str">
        <f ca="1">IFERROR(OFFSET(Camp_List[P_Code],MATCH(Data_Vulnerability_t[[#This Row],[Camp Name]],Camp_List[Camp Name],0)-1,0,1,1),"")</f>
        <v>MMR012CMP048</v>
      </c>
      <c r="E170" s="389" t="s">
        <v>1009</v>
      </c>
      <c r="F170" s="1017">
        <v>16</v>
      </c>
      <c r="G170" s="1017">
        <v>139</v>
      </c>
      <c r="H170" s="1076">
        <f>Data_Vulnerability_t[[#This Row],[Male]]+Data_Vulnerability_t[[#This Row],[Female]]</f>
        <v>155</v>
      </c>
      <c r="I170" s="388" t="s">
        <v>904</v>
      </c>
      <c r="J170" s="673">
        <v>43404</v>
      </c>
      <c r="K170" s="919"/>
    </row>
    <row r="171" spans="1:11" x14ac:dyDescent="0.2">
      <c r="A171" s="491" t="s">
        <v>7</v>
      </c>
      <c r="B171" s="492" t="s">
        <v>17</v>
      </c>
      <c r="C171" s="270" t="s">
        <v>68</v>
      </c>
      <c r="D171" s="392" t="str">
        <f ca="1">IFERROR(OFFSET(Camp_List[P_Code],MATCH(Data_Vulnerability_t[[#This Row],[Camp Name]],Camp_List[Camp Name],0)-1,0,1,1),"")</f>
        <v>MMR012CMP048</v>
      </c>
      <c r="E171" s="393" t="s">
        <v>1010</v>
      </c>
      <c r="F171" s="923"/>
      <c r="G171" s="923">
        <v>97</v>
      </c>
      <c r="H171" s="1076">
        <f>Data_Vulnerability_t[[#This Row],[Male]]+Data_Vulnerability_t[[#This Row],[Female]]</f>
        <v>97</v>
      </c>
      <c r="I171" s="493" t="s">
        <v>904</v>
      </c>
      <c r="J171" s="673">
        <v>43404</v>
      </c>
      <c r="K171" s="919"/>
    </row>
    <row r="172" spans="1:11" x14ac:dyDescent="0.2">
      <c r="A172" s="491" t="s">
        <v>7</v>
      </c>
      <c r="B172" s="492" t="s">
        <v>17</v>
      </c>
      <c r="C172" s="270" t="s">
        <v>68</v>
      </c>
      <c r="D172" s="392" t="str">
        <f ca="1">IFERROR(OFFSET(Camp_List[P_Code],MATCH(Data_Vulnerability_t[[#This Row],[Camp Name]],Camp_List[Camp Name],0)-1,0,1,1),"")</f>
        <v>MMR012CMP048</v>
      </c>
      <c r="E172" s="393" t="s">
        <v>774</v>
      </c>
      <c r="F172" s="923"/>
      <c r="G172" s="923">
        <v>284</v>
      </c>
      <c r="H172" s="1076">
        <f>Data_Vulnerability_t[[#This Row],[Male]]+Data_Vulnerability_t[[#This Row],[Female]]</f>
        <v>284</v>
      </c>
      <c r="I172" s="493" t="s">
        <v>904</v>
      </c>
      <c r="J172" s="673">
        <v>43404</v>
      </c>
      <c r="K172" s="919"/>
    </row>
    <row r="176" spans="1:11" x14ac:dyDescent="0.2">
      <c r="E176" s="672"/>
      <c r="F176" s="672"/>
      <c r="G176" s="672"/>
      <c r="H176" s="1078"/>
    </row>
    <row r="177" spans="3:11" x14ac:dyDescent="0.2">
      <c r="E177" s="672"/>
      <c r="F177" s="672"/>
      <c r="G177" s="672"/>
      <c r="H177" s="1078"/>
    </row>
    <row r="178" spans="3:11" ht="16.5" customHeight="1" x14ac:dyDescent="0.2">
      <c r="C178" s="248"/>
      <c r="D178" s="721"/>
      <c r="E178" s="672"/>
      <c r="F178" s="672"/>
      <c r="G178" s="672"/>
      <c r="H178" s="1078"/>
      <c r="J178" s="129"/>
      <c r="K178" s="129"/>
    </row>
    <row r="179" spans="3:11" ht="28.5" customHeight="1" x14ac:dyDescent="0.2">
      <c r="C179" s="248"/>
      <c r="D179" s="721"/>
      <c r="E179" s="672"/>
      <c r="F179" s="672"/>
      <c r="G179" s="672"/>
      <c r="H179" s="1078"/>
    </row>
    <row r="180" spans="3:11" ht="16.5" customHeight="1" x14ac:dyDescent="0.2">
      <c r="C180" s="248"/>
      <c r="D180" s="721"/>
      <c r="E180" s="672"/>
      <c r="F180" s="672"/>
      <c r="G180" s="672"/>
      <c r="H180" s="1078"/>
    </row>
    <row r="181" spans="3:11" ht="16.5" customHeight="1" x14ac:dyDescent="0.2">
      <c r="C181" s="248"/>
      <c r="D181" s="721"/>
      <c r="E181" s="672"/>
      <c r="F181" s="672"/>
      <c r="G181" s="672"/>
      <c r="H181" s="1078"/>
    </row>
    <row r="182" spans="3:11" ht="16.5" customHeight="1" x14ac:dyDescent="0.2">
      <c r="C182" s="248"/>
      <c r="D182" s="721"/>
      <c r="E182" s="672"/>
      <c r="F182" s="672"/>
      <c r="G182" s="672"/>
      <c r="H182" s="1078"/>
    </row>
    <row r="183" spans="3:11" ht="16.5" customHeight="1" x14ac:dyDescent="0.2">
      <c r="C183" s="248"/>
      <c r="D183" s="721"/>
      <c r="E183" s="672"/>
      <c r="F183" s="672"/>
      <c r="G183" s="672"/>
      <c r="H183" s="1078"/>
    </row>
    <row r="184" spans="3:11" ht="16.5" customHeight="1" x14ac:dyDescent="0.2">
      <c r="C184" s="248"/>
      <c r="D184" s="721"/>
      <c r="E184" s="672"/>
      <c r="F184" s="672"/>
      <c r="G184" s="672"/>
      <c r="H184" s="1078"/>
    </row>
    <row r="185" spans="3:11" ht="16.5" customHeight="1" x14ac:dyDescent="0.2">
      <c r="C185" s="248"/>
      <c r="D185" s="721"/>
    </row>
    <row r="186" spans="3:11" ht="16.5" customHeight="1" x14ac:dyDescent="0.2">
      <c r="C186" s="248"/>
      <c r="D186" s="721"/>
    </row>
    <row r="187" spans="3:11" ht="16.5" customHeight="1" x14ac:dyDescent="0.2">
      <c r="C187" s="248"/>
      <c r="D187" s="721"/>
    </row>
    <row r="188" spans="3:11" ht="16.5" customHeight="1" x14ac:dyDescent="0.2">
      <c r="C188" s="248"/>
      <c r="D188" s="721"/>
    </row>
    <row r="189" spans="3:11" ht="16.5" customHeight="1" x14ac:dyDescent="0.2">
      <c r="C189" s="248"/>
      <c r="D189" s="721"/>
    </row>
    <row r="190" spans="3:11" ht="16.5" customHeight="1" x14ac:dyDescent="0.2">
      <c r="C190" s="248"/>
      <c r="D190" s="721"/>
    </row>
    <row r="191" spans="3:11" ht="16.5" customHeight="1" x14ac:dyDescent="0.2">
      <c r="C191" s="248"/>
      <c r="D191" s="721"/>
    </row>
    <row r="192" spans="3:11" ht="16.5" customHeight="1" x14ac:dyDescent="0.2">
      <c r="C192" s="248"/>
      <c r="D192" s="721"/>
    </row>
    <row r="193" spans="3:4" ht="16.5" customHeight="1" x14ac:dyDescent="0.2">
      <c r="C193" s="248"/>
      <c r="D193" s="721"/>
    </row>
    <row r="194" spans="3:4" ht="15" x14ac:dyDescent="0.2">
      <c r="C194" s="248"/>
      <c r="D194" s="721"/>
    </row>
    <row r="195" spans="3:4" ht="15" x14ac:dyDescent="0.2">
      <c r="C195" s="248"/>
      <c r="D195" s="721"/>
    </row>
  </sheetData>
  <dataValidations count="4">
    <dataValidation type="list" allowBlank="1" showInputMessage="1" showErrorMessage="1" sqref="A2:A172">
      <formula1>State</formula1>
    </dataValidation>
    <dataValidation type="list" showInputMessage="1" showErrorMessage="1" sqref="B2:B172">
      <formula1>INDIRECT(A2)</formula1>
    </dataValidation>
    <dataValidation type="list" errorStyle="warning" showInputMessage="1" showErrorMessage="1" sqref="C2:C172">
      <formula1>OFFSET(TCL_T1,MATCH(B2,TCL_T,0)-1,1,COUNTIF(TCL_T,B2),1)</formula1>
    </dataValidation>
    <dataValidation type="list" allowBlank="1" showInputMessage="1" showErrorMessage="1" sqref="E2:E172">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U48" sqref="U48"/>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42">
        <f>Report_Date</f>
        <v>43434</v>
      </c>
      <c r="C4" s="1111"/>
      <c r="D4" s="1111"/>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Q12" sqref="Q1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17" t="s">
        <v>721</v>
      </c>
      <c r="C2" s="343"/>
      <c r="D2" s="343"/>
      <c r="E2" s="343"/>
      <c r="F2" s="343"/>
      <c r="G2" s="343"/>
      <c r="H2" s="343"/>
      <c r="I2" s="343"/>
      <c r="J2" s="343"/>
    </row>
    <row r="3" spans="1:10" x14ac:dyDescent="0.25">
      <c r="B3" s="618">
        <f>Report_Date</f>
        <v>43434</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21" t="s">
        <v>329</v>
      </c>
      <c r="C5" s="622" t="s">
        <v>331</v>
      </c>
      <c r="D5" s="342"/>
      <c r="E5" s="342"/>
      <c r="F5" s="342"/>
      <c r="G5" s="342"/>
      <c r="H5" s="342"/>
      <c r="I5" s="342"/>
      <c r="J5" s="342"/>
    </row>
    <row r="6" spans="1:10" ht="15.75" thickBot="1" x14ac:dyDescent="0.3">
      <c r="B6" s="621" t="s">
        <v>22</v>
      </c>
      <c r="C6" s="622"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66" t="s">
        <v>0</v>
      </c>
      <c r="C8" s="966" t="s">
        <v>614</v>
      </c>
      <c r="D8" s="966" t="s">
        <v>615</v>
      </c>
      <c r="E8" s="967" t="s">
        <v>747</v>
      </c>
      <c r="F8" s="968" t="s">
        <v>9</v>
      </c>
      <c r="G8" s="968" t="s">
        <v>8</v>
      </c>
      <c r="H8" s="963" t="s">
        <v>751</v>
      </c>
      <c r="I8" s="964" t="s">
        <v>823</v>
      </c>
      <c r="J8" s="623" t="s">
        <v>746</v>
      </c>
    </row>
    <row r="9" spans="1:10" x14ac:dyDescent="0.25">
      <c r="B9" s="1146" t="s">
        <v>13</v>
      </c>
      <c r="C9" s="1146" t="s">
        <v>273</v>
      </c>
      <c r="D9" s="1146" t="s">
        <v>612</v>
      </c>
      <c r="E9" s="1150" t="s">
        <v>1150</v>
      </c>
      <c r="F9" s="1099" t="s">
        <v>40</v>
      </c>
      <c r="G9" s="1099" t="s">
        <v>126</v>
      </c>
      <c r="H9" s="957">
        <v>5945</v>
      </c>
      <c r="I9" s="958">
        <v>1343</v>
      </c>
      <c r="J9" s="965">
        <v>1</v>
      </c>
    </row>
    <row r="10" spans="1:10" ht="15.75" thickBot="1" x14ac:dyDescent="0.3">
      <c r="B10" s="1147"/>
      <c r="C10" s="1147"/>
      <c r="D10" s="1149"/>
      <c r="E10" s="1151"/>
      <c r="F10" s="1099" t="s">
        <v>41</v>
      </c>
      <c r="G10" s="1099" t="s">
        <v>127</v>
      </c>
      <c r="H10" s="959">
        <v>2845</v>
      </c>
      <c r="I10" s="507">
        <v>617</v>
      </c>
      <c r="J10" s="593">
        <v>1</v>
      </c>
    </row>
    <row r="11" spans="1:10" s="251" customFormat="1" ht="15.75" thickBot="1" x14ac:dyDescent="0.3">
      <c r="A11" s="325"/>
      <c r="B11" s="1147"/>
      <c r="C11" s="1148" t="s">
        <v>575</v>
      </c>
      <c r="D11" s="1114" t="s">
        <v>612</v>
      </c>
      <c r="E11" s="1146" t="s">
        <v>947</v>
      </c>
      <c r="F11" s="1097" t="s">
        <v>38</v>
      </c>
      <c r="G11" s="147" t="s">
        <v>124</v>
      </c>
      <c r="H11" s="959">
        <v>4726</v>
      </c>
      <c r="I11" s="507">
        <v>1249</v>
      </c>
      <c r="J11" s="593">
        <v>1</v>
      </c>
    </row>
    <row r="12" spans="1:10" ht="15.75" thickBot="1" x14ac:dyDescent="0.3">
      <c r="B12" s="1149"/>
      <c r="C12" s="1149"/>
      <c r="D12" s="1114"/>
      <c r="E12" s="1152"/>
      <c r="F12" s="624" t="s">
        <v>982</v>
      </c>
      <c r="G12" s="147" t="s">
        <v>125</v>
      </c>
      <c r="H12" s="959">
        <v>4118</v>
      </c>
      <c r="I12" s="507">
        <v>905</v>
      </c>
      <c r="J12" s="593">
        <v>1</v>
      </c>
    </row>
    <row r="13" spans="1:10" ht="15.75" thickBot="1" x14ac:dyDescent="0.3">
      <c r="B13" s="1133" t="s">
        <v>598</v>
      </c>
      <c r="C13" s="1134"/>
      <c r="D13" s="1134"/>
      <c r="E13" s="1134"/>
      <c r="F13" s="1134"/>
      <c r="G13" s="1135"/>
      <c r="H13" s="961">
        <v>17634</v>
      </c>
      <c r="I13" s="880">
        <v>4114</v>
      </c>
      <c r="J13" s="954">
        <v>4</v>
      </c>
    </row>
    <row r="14" spans="1:10" ht="15.75" thickBot="1" x14ac:dyDescent="0.3">
      <c r="B14" s="1146" t="s">
        <v>17</v>
      </c>
      <c r="C14" s="1130" t="s">
        <v>270</v>
      </c>
      <c r="D14" s="1146" t="s">
        <v>613</v>
      </c>
      <c r="E14" s="1146" t="s">
        <v>1134</v>
      </c>
      <c r="F14" s="1097" t="s">
        <v>509</v>
      </c>
      <c r="G14" s="147" t="s">
        <v>510</v>
      </c>
      <c r="H14" s="959">
        <v>226</v>
      </c>
      <c r="I14" s="507">
        <v>41</v>
      </c>
      <c r="J14" s="593">
        <v>1</v>
      </c>
    </row>
    <row r="15" spans="1:10" ht="15.75" thickBot="1" x14ac:dyDescent="0.3">
      <c r="B15" s="1147"/>
      <c r="C15" s="1131"/>
      <c r="D15" s="1147"/>
      <c r="E15" s="1153"/>
      <c r="F15" s="1098" t="s">
        <v>499</v>
      </c>
      <c r="G15" s="147" t="s">
        <v>500</v>
      </c>
      <c r="H15" s="959">
        <v>2951</v>
      </c>
      <c r="I15" s="507">
        <v>518</v>
      </c>
      <c r="J15" s="593">
        <v>1</v>
      </c>
    </row>
    <row r="16" spans="1:10" ht="15.75" thickBot="1" x14ac:dyDescent="0.3">
      <c r="B16" s="1147"/>
      <c r="C16" s="1131"/>
      <c r="D16" s="1149"/>
      <c r="E16" s="1152"/>
      <c r="F16" s="624" t="s">
        <v>497</v>
      </c>
      <c r="G16" s="147" t="s">
        <v>267</v>
      </c>
      <c r="H16" s="959">
        <v>2942</v>
      </c>
      <c r="I16" s="507">
        <v>496</v>
      </c>
      <c r="J16" s="593">
        <v>1</v>
      </c>
    </row>
    <row r="17" spans="2:12" x14ac:dyDescent="0.25">
      <c r="B17" s="1147"/>
      <c r="C17" s="1148" t="s">
        <v>273</v>
      </c>
      <c r="D17" s="1146" t="s">
        <v>612</v>
      </c>
      <c r="E17" s="1154" t="s">
        <v>1150</v>
      </c>
      <c r="F17" s="1100" t="s">
        <v>581</v>
      </c>
      <c r="G17" s="1099" t="s">
        <v>583</v>
      </c>
      <c r="H17" s="959">
        <v>4757</v>
      </c>
      <c r="I17" s="507">
        <v>1013</v>
      </c>
      <c r="J17" s="593">
        <v>1</v>
      </c>
      <c r="L17" s="1" t="s">
        <v>722</v>
      </c>
    </row>
    <row r="18" spans="2:12" x14ac:dyDescent="0.25">
      <c r="B18" s="1147"/>
      <c r="C18" s="1147"/>
      <c r="D18" s="1147"/>
      <c r="E18" s="1155"/>
      <c r="F18" s="1100" t="s">
        <v>582</v>
      </c>
      <c r="G18" s="1099" t="s">
        <v>584</v>
      </c>
      <c r="H18" s="959">
        <v>6611</v>
      </c>
      <c r="I18" s="507">
        <v>1334</v>
      </c>
      <c r="J18" s="593">
        <v>1</v>
      </c>
    </row>
    <row r="19" spans="2:12" x14ac:dyDescent="0.25">
      <c r="B19" s="1147"/>
      <c r="C19" s="1147"/>
      <c r="D19" s="1147"/>
      <c r="E19" s="1155"/>
      <c r="F19" s="1100" t="s">
        <v>61</v>
      </c>
      <c r="G19" s="1099" t="s">
        <v>147</v>
      </c>
      <c r="H19" s="959">
        <v>11363</v>
      </c>
      <c r="I19" s="507">
        <v>1983</v>
      </c>
      <c r="J19" s="593">
        <v>1</v>
      </c>
    </row>
    <row r="20" spans="2:12" x14ac:dyDescent="0.25">
      <c r="B20" s="1147"/>
      <c r="C20" s="1147"/>
      <c r="D20" s="1147"/>
      <c r="E20" s="1155"/>
      <c r="F20" s="1100" t="s">
        <v>585</v>
      </c>
      <c r="G20" s="1099" t="s">
        <v>502</v>
      </c>
      <c r="H20" s="959">
        <v>4007</v>
      </c>
      <c r="I20" s="507">
        <v>734</v>
      </c>
      <c r="J20" s="593">
        <v>1</v>
      </c>
    </row>
    <row r="21" spans="2:12" x14ac:dyDescent="0.25">
      <c r="B21" s="1147"/>
      <c r="C21" s="1147"/>
      <c r="D21" s="1147"/>
      <c r="E21" s="1155"/>
      <c r="F21" s="1100" t="s">
        <v>586</v>
      </c>
      <c r="G21" s="1099" t="s">
        <v>588</v>
      </c>
      <c r="H21" s="959">
        <v>13794</v>
      </c>
      <c r="I21" s="507">
        <v>2668</v>
      </c>
      <c r="J21" s="593">
        <v>1</v>
      </c>
    </row>
    <row r="22" spans="2:12" ht="15.75" thickBot="1" x14ac:dyDescent="0.3">
      <c r="B22" s="1147"/>
      <c r="C22" s="1147"/>
      <c r="D22" s="1149"/>
      <c r="E22" s="1155"/>
      <c r="F22" s="1100" t="s">
        <v>65</v>
      </c>
      <c r="G22" s="1099" t="s">
        <v>151</v>
      </c>
      <c r="H22" s="959">
        <v>13711</v>
      </c>
      <c r="I22" s="507">
        <v>2703</v>
      </c>
      <c r="J22" s="593">
        <v>1</v>
      </c>
    </row>
    <row r="23" spans="2:12" ht="15.75" thickBot="1" x14ac:dyDescent="0.3">
      <c r="B23" s="1147"/>
      <c r="C23" s="1148" t="s">
        <v>575</v>
      </c>
      <c r="D23" s="1114" t="s">
        <v>612</v>
      </c>
      <c r="E23" s="1146" t="s">
        <v>947</v>
      </c>
      <c r="F23" s="1097" t="s">
        <v>59</v>
      </c>
      <c r="G23" s="147" t="s">
        <v>145</v>
      </c>
      <c r="H23" s="959">
        <v>2267</v>
      </c>
      <c r="I23" s="507">
        <v>396</v>
      </c>
      <c r="J23" s="593">
        <v>1</v>
      </c>
    </row>
    <row r="24" spans="2:12" ht="15.75" thickBot="1" x14ac:dyDescent="0.3">
      <c r="B24" s="1147"/>
      <c r="C24" s="1147"/>
      <c r="D24" s="1114"/>
      <c r="E24" s="1153"/>
      <c r="F24" s="1098" t="s">
        <v>587</v>
      </c>
      <c r="G24" s="147" t="s">
        <v>589</v>
      </c>
      <c r="H24" s="959">
        <v>11322</v>
      </c>
      <c r="I24" s="507">
        <v>2259</v>
      </c>
      <c r="J24" s="593">
        <v>1</v>
      </c>
    </row>
    <row r="25" spans="2:12" ht="15.75" thickBot="1" x14ac:dyDescent="0.3">
      <c r="B25" s="1147"/>
      <c r="C25" s="1147"/>
      <c r="D25" s="1114"/>
      <c r="E25" s="1153"/>
      <c r="F25" s="624" t="s">
        <v>66</v>
      </c>
      <c r="G25" s="147" t="s">
        <v>152</v>
      </c>
      <c r="H25" s="959">
        <v>13072</v>
      </c>
      <c r="I25" s="507">
        <v>2272</v>
      </c>
      <c r="J25" s="593">
        <v>1</v>
      </c>
    </row>
    <row r="26" spans="2:12" x14ac:dyDescent="0.25">
      <c r="B26" s="1147"/>
      <c r="C26" s="1147"/>
      <c r="D26" s="1114"/>
      <c r="E26" s="1153"/>
      <c r="F26" s="1099" t="s">
        <v>1054</v>
      </c>
      <c r="G26" s="1099" t="s">
        <v>148</v>
      </c>
      <c r="H26" s="959">
        <v>2306</v>
      </c>
      <c r="I26" s="507">
        <v>400</v>
      </c>
      <c r="J26" s="593">
        <v>1</v>
      </c>
    </row>
    <row r="27" spans="2:12" ht="15.75" thickBot="1" x14ac:dyDescent="0.3">
      <c r="B27" s="1147"/>
      <c r="C27" s="1147"/>
      <c r="D27" s="1114"/>
      <c r="E27" s="1152"/>
      <c r="F27" s="1099" t="s">
        <v>1055</v>
      </c>
      <c r="G27" s="1099" t="s">
        <v>148</v>
      </c>
      <c r="H27" s="959">
        <v>2223</v>
      </c>
      <c r="I27" s="507">
        <v>399</v>
      </c>
      <c r="J27" s="593">
        <v>1</v>
      </c>
    </row>
    <row r="28" spans="2:12" x14ac:dyDescent="0.25">
      <c r="B28" s="1147"/>
      <c r="C28" s="1148" t="s">
        <v>904</v>
      </c>
      <c r="D28" s="1114" t="s">
        <v>612</v>
      </c>
      <c r="E28" s="1148" t="s">
        <v>1158</v>
      </c>
      <c r="F28" s="1100" t="s">
        <v>580</v>
      </c>
      <c r="G28" s="1099" t="s">
        <v>268</v>
      </c>
      <c r="H28" s="959">
        <v>3370</v>
      </c>
      <c r="I28" s="507">
        <v>622</v>
      </c>
      <c r="J28" s="593">
        <v>1</v>
      </c>
    </row>
    <row r="29" spans="2:12" ht="15.75" thickBot="1" x14ac:dyDescent="0.3">
      <c r="B29" s="1149"/>
      <c r="C29" s="1149"/>
      <c r="D29" s="1114"/>
      <c r="E29" s="1153"/>
      <c r="F29" s="1100" t="s">
        <v>68</v>
      </c>
      <c r="G29" s="1099" t="s">
        <v>154</v>
      </c>
      <c r="H29" s="959">
        <v>5926</v>
      </c>
      <c r="I29" s="507">
        <v>981</v>
      </c>
      <c r="J29" s="593">
        <v>1</v>
      </c>
    </row>
    <row r="30" spans="2:12" ht="15.75" thickBot="1" x14ac:dyDescent="0.3">
      <c r="B30" s="1133" t="s">
        <v>596</v>
      </c>
      <c r="C30" s="1134"/>
      <c r="D30" s="1134"/>
      <c r="E30" s="1134"/>
      <c r="F30" s="1134"/>
      <c r="G30" s="1135"/>
      <c r="H30" s="960">
        <v>100848</v>
      </c>
      <c r="I30" s="879">
        <v>18819</v>
      </c>
      <c r="J30" s="955">
        <v>16</v>
      </c>
    </row>
    <row r="31" spans="2:12" ht="15.75" thickBot="1" x14ac:dyDescent="0.3">
      <c r="B31" s="147" t="s">
        <v>814</v>
      </c>
      <c r="C31" s="147" t="s">
        <v>658</v>
      </c>
      <c r="D31" s="147" t="s">
        <v>613</v>
      </c>
      <c r="E31" s="147" t="s">
        <v>1046</v>
      </c>
      <c r="F31" s="147" t="s">
        <v>36</v>
      </c>
      <c r="G31" s="147" t="s">
        <v>122</v>
      </c>
      <c r="H31" s="959">
        <v>2690</v>
      </c>
      <c r="I31" s="507">
        <v>655</v>
      </c>
      <c r="J31" s="593">
        <v>1</v>
      </c>
    </row>
    <row r="32" spans="2:12" ht="15.75" thickBot="1" x14ac:dyDescent="0.3">
      <c r="B32" s="1133" t="s">
        <v>815</v>
      </c>
      <c r="C32" s="1136"/>
      <c r="D32" s="1136"/>
      <c r="E32" s="1136"/>
      <c r="F32" s="1136"/>
      <c r="G32" s="1137"/>
      <c r="H32" s="960">
        <v>2690</v>
      </c>
      <c r="I32" s="879">
        <v>655</v>
      </c>
      <c r="J32" s="955">
        <v>1</v>
      </c>
    </row>
    <row r="33" spans="2:10" ht="15.75" thickBot="1" x14ac:dyDescent="0.3">
      <c r="B33" s="1143" t="s">
        <v>204</v>
      </c>
      <c r="C33" s="1144"/>
      <c r="D33" s="1144"/>
      <c r="E33" s="1144"/>
      <c r="F33" s="1144"/>
      <c r="G33" s="1145"/>
      <c r="H33" s="962">
        <v>121172</v>
      </c>
      <c r="I33" s="953">
        <v>23588</v>
      </c>
      <c r="J33" s="956">
        <v>21</v>
      </c>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3:G33"/>
    <mergeCell ref="C9:C10"/>
    <mergeCell ref="C11:C12"/>
    <mergeCell ref="C14:C16"/>
    <mergeCell ref="C17:C22"/>
    <mergeCell ref="C23:C27"/>
    <mergeCell ref="C28:C29"/>
    <mergeCell ref="D9:D12"/>
    <mergeCell ref="D14:D16"/>
    <mergeCell ref="D17:D29"/>
    <mergeCell ref="E9:E10"/>
    <mergeCell ref="E11:E12"/>
    <mergeCell ref="E14:E16"/>
    <mergeCell ref="E17:E22"/>
    <mergeCell ref="E23:E27"/>
    <mergeCell ref="E28:E29"/>
    <mergeCell ref="B9:B12"/>
    <mergeCell ref="B13:G13"/>
    <mergeCell ref="B14:B29"/>
    <mergeCell ref="B30:G30"/>
    <mergeCell ref="B32:G32"/>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Q32" sqref="Q32"/>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108" t="s">
        <v>941</v>
      </c>
      <c r="B2" s="1109"/>
      <c r="C2" s="1109"/>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10">
        <f>Report_Date</f>
        <v>43434</v>
      </c>
      <c r="B3" s="1111"/>
      <c r="C3" s="1111"/>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494" t="s">
        <v>0</v>
      </c>
      <c r="B4" s="494" t="s">
        <v>9</v>
      </c>
      <c r="C4" s="494" t="s">
        <v>8</v>
      </c>
      <c r="D4" s="170" t="s">
        <v>329</v>
      </c>
      <c r="E4" s="461" t="s">
        <v>556</v>
      </c>
      <c r="F4" s="461" t="s">
        <v>557</v>
      </c>
      <c r="G4" s="646" t="s">
        <v>836</v>
      </c>
      <c r="H4"/>
    </row>
    <row r="5" spans="1:61" ht="12" customHeight="1" x14ac:dyDescent="0.25">
      <c r="A5" s="646" t="s">
        <v>14</v>
      </c>
      <c r="B5" s="646" t="s">
        <v>44</v>
      </c>
      <c r="C5" s="646" t="s">
        <v>130</v>
      </c>
      <c r="D5" s="646" t="s">
        <v>935</v>
      </c>
      <c r="E5" s="495">
        <v>24</v>
      </c>
      <c r="F5" s="495">
        <v>140</v>
      </c>
      <c r="G5" s="88">
        <v>1</v>
      </c>
      <c r="H5"/>
    </row>
    <row r="6" spans="1:61" ht="12" customHeight="1" x14ac:dyDescent="0.25">
      <c r="A6" s="646"/>
      <c r="B6" s="646" t="s">
        <v>47</v>
      </c>
      <c r="C6" s="646" t="s">
        <v>133</v>
      </c>
      <c r="D6" s="646" t="s">
        <v>935</v>
      </c>
      <c r="E6" s="495">
        <v>14</v>
      </c>
      <c r="F6" s="495">
        <v>84</v>
      </c>
      <c r="G6" s="88">
        <v>1</v>
      </c>
      <c r="H6"/>
    </row>
    <row r="7" spans="1:61" ht="12" customHeight="1" x14ac:dyDescent="0.25">
      <c r="A7" s="646"/>
      <c r="B7" s="646" t="s">
        <v>46</v>
      </c>
      <c r="C7" s="646" t="s">
        <v>132</v>
      </c>
      <c r="D7" s="646" t="s">
        <v>935</v>
      </c>
      <c r="E7" s="495">
        <v>100</v>
      </c>
      <c r="F7" s="495">
        <v>559</v>
      </c>
      <c r="G7" s="88">
        <v>1</v>
      </c>
      <c r="H7"/>
    </row>
    <row r="8" spans="1:61" ht="12" customHeight="1" x14ac:dyDescent="0.25">
      <c r="A8" s="646"/>
      <c r="B8" s="646" t="s">
        <v>49</v>
      </c>
      <c r="C8" s="646" t="s">
        <v>135</v>
      </c>
      <c r="D8" s="646" t="s">
        <v>935</v>
      </c>
      <c r="E8" s="495">
        <v>116</v>
      </c>
      <c r="F8" s="495">
        <v>802</v>
      </c>
      <c r="G8" s="88">
        <v>1</v>
      </c>
      <c r="H8"/>
    </row>
    <row r="9" spans="1:61" ht="12" customHeight="1" x14ac:dyDescent="0.25">
      <c r="A9" s="646"/>
      <c r="B9" s="646" t="s">
        <v>48</v>
      </c>
      <c r="C9" s="646" t="s">
        <v>134</v>
      </c>
      <c r="D9" s="646" t="s">
        <v>935</v>
      </c>
      <c r="E9" s="495">
        <v>236</v>
      </c>
      <c r="F9" s="495">
        <v>1524</v>
      </c>
      <c r="G9" s="88">
        <v>1</v>
      </c>
      <c r="H9"/>
    </row>
    <row r="10" spans="1:61" ht="12" customHeight="1" x14ac:dyDescent="0.25">
      <c r="A10" s="646"/>
      <c r="B10" s="646" t="s">
        <v>52</v>
      </c>
      <c r="C10" s="646" t="s">
        <v>138</v>
      </c>
      <c r="D10" s="646" t="s">
        <v>934</v>
      </c>
      <c r="E10" s="495">
        <v>97</v>
      </c>
      <c r="F10" s="495">
        <v>557</v>
      </c>
      <c r="G10" s="88">
        <v>1</v>
      </c>
      <c r="H10"/>
    </row>
    <row r="11" spans="1:61" ht="12" customHeight="1" x14ac:dyDescent="0.25">
      <c r="A11" s="646"/>
      <c r="B11" s="646" t="s">
        <v>42</v>
      </c>
      <c r="C11" s="646" t="s">
        <v>128</v>
      </c>
      <c r="D11" s="646" t="s">
        <v>935</v>
      </c>
      <c r="E11" s="495">
        <v>18</v>
      </c>
      <c r="F11" s="495">
        <v>157</v>
      </c>
      <c r="G11" s="88">
        <v>1</v>
      </c>
      <c r="H11"/>
    </row>
    <row r="12" spans="1:61" ht="12" customHeight="1" x14ac:dyDescent="0.25">
      <c r="A12" s="646"/>
      <c r="B12" s="646" t="s">
        <v>51</v>
      </c>
      <c r="C12" s="646" t="s">
        <v>137</v>
      </c>
      <c r="D12" s="646" t="s">
        <v>935</v>
      </c>
      <c r="E12" s="495">
        <v>144</v>
      </c>
      <c r="F12" s="495">
        <v>1006</v>
      </c>
      <c r="G12" s="88">
        <v>1</v>
      </c>
      <c r="H12"/>
      <c r="N12" s="78" t="s">
        <v>722</v>
      </c>
    </row>
    <row r="13" spans="1:61" x14ac:dyDescent="0.25">
      <c r="A13" s="646"/>
      <c r="B13" s="646" t="s">
        <v>43</v>
      </c>
      <c r="C13" s="646" t="s">
        <v>129</v>
      </c>
      <c r="D13" s="646" t="s">
        <v>935</v>
      </c>
      <c r="E13" s="495">
        <v>63</v>
      </c>
      <c r="F13" s="495">
        <v>414</v>
      </c>
      <c r="G13" s="88">
        <v>1</v>
      </c>
      <c r="H13"/>
    </row>
    <row r="14" spans="1:61" x14ac:dyDescent="0.25">
      <c r="A14" s="646"/>
      <c r="B14" s="646" t="s">
        <v>50</v>
      </c>
      <c r="C14" s="646" t="s">
        <v>136</v>
      </c>
      <c r="D14" s="646" t="s">
        <v>935</v>
      </c>
      <c r="E14" s="495">
        <v>112</v>
      </c>
      <c r="F14" s="495">
        <v>738</v>
      </c>
      <c r="G14" s="88">
        <v>1</v>
      </c>
      <c r="H14"/>
    </row>
    <row r="15" spans="1:61" x14ac:dyDescent="0.25">
      <c r="A15" s="646" t="s">
        <v>911</v>
      </c>
      <c r="B15" s="646"/>
      <c r="C15" s="646"/>
      <c r="D15" s="646"/>
      <c r="E15" s="495">
        <v>924</v>
      </c>
      <c r="F15" s="495">
        <v>5981</v>
      </c>
      <c r="G15" s="88">
        <v>10</v>
      </c>
      <c r="H15"/>
    </row>
    <row r="16" spans="1:61" x14ac:dyDescent="0.25">
      <c r="A16" s="646" t="s">
        <v>18</v>
      </c>
      <c r="B16" s="646" t="s">
        <v>101</v>
      </c>
      <c r="C16" s="646" t="s">
        <v>187</v>
      </c>
      <c r="D16" s="646" t="s">
        <v>935</v>
      </c>
      <c r="E16" s="495">
        <v>17</v>
      </c>
      <c r="F16" s="495">
        <v>109</v>
      </c>
      <c r="G16" s="88">
        <v>1</v>
      </c>
      <c r="H16"/>
    </row>
    <row r="17" spans="1:8" x14ac:dyDescent="0.25">
      <c r="A17" s="646" t="s">
        <v>597</v>
      </c>
      <c r="B17" s="646"/>
      <c r="C17" s="646"/>
      <c r="D17" s="646"/>
      <c r="E17" s="495">
        <v>17</v>
      </c>
      <c r="F17" s="495">
        <v>109</v>
      </c>
      <c r="G17" s="88">
        <v>1</v>
      </c>
      <c r="H17"/>
    </row>
    <row r="18" spans="1:8" x14ac:dyDescent="0.25">
      <c r="A18" s="646" t="s">
        <v>11</v>
      </c>
      <c r="B18" s="646" t="s">
        <v>28</v>
      </c>
      <c r="C18" s="646" t="s">
        <v>114</v>
      </c>
      <c r="D18" s="646" t="s">
        <v>935</v>
      </c>
      <c r="E18" s="495">
        <v>87</v>
      </c>
      <c r="F18" s="495">
        <v>444</v>
      </c>
      <c r="G18" s="88">
        <v>1</v>
      </c>
      <c r="H18"/>
    </row>
    <row r="19" spans="1:8" x14ac:dyDescent="0.25">
      <c r="A19" s="646"/>
      <c r="B19" s="646" t="s">
        <v>23</v>
      </c>
      <c r="C19" s="646" t="s">
        <v>109</v>
      </c>
      <c r="D19" s="646" t="s">
        <v>935</v>
      </c>
      <c r="E19" s="495">
        <v>19</v>
      </c>
      <c r="F19" s="495">
        <v>142</v>
      </c>
      <c r="G19" s="88">
        <v>1</v>
      </c>
      <c r="H19"/>
    </row>
    <row r="20" spans="1:8" x14ac:dyDescent="0.25">
      <c r="A20" s="646"/>
      <c r="B20" s="646" t="s">
        <v>30</v>
      </c>
      <c r="C20" s="646" t="s">
        <v>116</v>
      </c>
      <c r="D20" s="646" t="s">
        <v>935</v>
      </c>
      <c r="E20" s="495">
        <v>228</v>
      </c>
      <c r="F20" s="495">
        <v>1377</v>
      </c>
      <c r="G20" s="88">
        <v>1</v>
      </c>
      <c r="H20"/>
    </row>
    <row r="21" spans="1:8" x14ac:dyDescent="0.25">
      <c r="A21" s="646"/>
      <c r="B21" s="646" t="s">
        <v>25</v>
      </c>
      <c r="C21" s="646" t="s">
        <v>111</v>
      </c>
      <c r="D21" s="646" t="s">
        <v>935</v>
      </c>
      <c r="E21" s="495">
        <v>86</v>
      </c>
      <c r="F21" s="495">
        <v>476</v>
      </c>
      <c r="G21" s="88">
        <v>1</v>
      </c>
      <c r="H21"/>
    </row>
    <row r="22" spans="1:8" x14ac:dyDescent="0.25">
      <c r="A22" s="646"/>
      <c r="B22" s="646" t="s">
        <v>513</v>
      </c>
      <c r="C22" s="646" t="s">
        <v>514</v>
      </c>
      <c r="D22" s="646" t="s">
        <v>935</v>
      </c>
      <c r="E22" s="495">
        <v>18</v>
      </c>
      <c r="F22" s="495">
        <v>72</v>
      </c>
      <c r="G22" s="88">
        <v>1</v>
      </c>
      <c r="H22"/>
    </row>
    <row r="23" spans="1:8" x14ac:dyDescent="0.25">
      <c r="A23" s="646"/>
      <c r="B23" s="646" t="s">
        <v>24</v>
      </c>
      <c r="C23" s="646" t="s">
        <v>110</v>
      </c>
      <c r="D23" s="646" t="s">
        <v>935</v>
      </c>
      <c r="E23" s="495">
        <v>203</v>
      </c>
      <c r="F23" s="495">
        <v>1420</v>
      </c>
      <c r="G23" s="88">
        <v>1</v>
      </c>
      <c r="H23"/>
    </row>
    <row r="24" spans="1:8" x14ac:dyDescent="0.25">
      <c r="A24" s="646"/>
      <c r="B24" s="646" t="s">
        <v>27</v>
      </c>
      <c r="C24" s="646" t="s">
        <v>113</v>
      </c>
      <c r="D24" s="646" t="s">
        <v>935</v>
      </c>
      <c r="E24" s="495">
        <v>275</v>
      </c>
      <c r="F24" s="495">
        <v>1707</v>
      </c>
      <c r="G24" s="88">
        <v>1</v>
      </c>
      <c r="H24"/>
    </row>
    <row r="25" spans="1:8" x14ac:dyDescent="0.25">
      <c r="A25" s="646" t="s">
        <v>940</v>
      </c>
      <c r="B25" s="646"/>
      <c r="C25" s="646"/>
      <c r="D25" s="646"/>
      <c r="E25" s="495">
        <v>916</v>
      </c>
      <c r="F25" s="495">
        <v>5638</v>
      </c>
      <c r="G25" s="88">
        <v>7</v>
      </c>
      <c r="H25"/>
    </row>
    <row r="26" spans="1:8" x14ac:dyDescent="0.25">
      <c r="A26" s="646" t="s">
        <v>13</v>
      </c>
      <c r="B26" s="646" t="s">
        <v>37</v>
      </c>
      <c r="C26" s="646" t="s">
        <v>123</v>
      </c>
      <c r="D26" s="646" t="s">
        <v>934</v>
      </c>
      <c r="E26" s="495">
        <v>21</v>
      </c>
      <c r="F26" s="495">
        <v>122</v>
      </c>
      <c r="G26" s="88">
        <v>1</v>
      </c>
      <c r="H26"/>
    </row>
    <row r="27" spans="1:8" x14ac:dyDescent="0.25">
      <c r="A27" s="646" t="s">
        <v>598</v>
      </c>
      <c r="B27" s="646"/>
      <c r="C27" s="646"/>
      <c r="D27" s="646"/>
      <c r="E27" s="495">
        <v>21</v>
      </c>
      <c r="F27" s="495">
        <v>122</v>
      </c>
      <c r="G27" s="88">
        <v>1</v>
      </c>
      <c r="H27"/>
    </row>
    <row r="28" spans="1:8" x14ac:dyDescent="0.25">
      <c r="A28" s="646" t="s">
        <v>15</v>
      </c>
      <c r="B28" s="646" t="s">
        <v>54</v>
      </c>
      <c r="C28" s="646" t="s">
        <v>140</v>
      </c>
      <c r="D28" s="646" t="s">
        <v>935</v>
      </c>
      <c r="E28" s="495">
        <v>32</v>
      </c>
      <c r="F28" s="495">
        <v>157</v>
      </c>
      <c r="G28" s="88">
        <v>1</v>
      </c>
      <c r="H28"/>
    </row>
    <row r="29" spans="1:8" x14ac:dyDescent="0.25">
      <c r="A29" s="646"/>
      <c r="B29" s="646" t="s">
        <v>53</v>
      </c>
      <c r="C29" s="646" t="s">
        <v>139</v>
      </c>
      <c r="D29" s="646" t="s">
        <v>935</v>
      </c>
      <c r="E29" s="495">
        <v>56</v>
      </c>
      <c r="F29" s="495">
        <v>332</v>
      </c>
      <c r="G29" s="88">
        <v>1</v>
      </c>
      <c r="H29"/>
    </row>
    <row r="30" spans="1:8" x14ac:dyDescent="0.25">
      <c r="A30" s="646" t="s">
        <v>600</v>
      </c>
      <c r="B30" s="646"/>
      <c r="C30" s="646"/>
      <c r="D30" s="646"/>
      <c r="E30" s="495">
        <v>88</v>
      </c>
      <c r="F30" s="495">
        <v>489</v>
      </c>
      <c r="G30" s="88">
        <v>2</v>
      </c>
      <c r="H30"/>
    </row>
    <row r="31" spans="1:8" x14ac:dyDescent="0.25">
      <c r="A31" s="646" t="s">
        <v>17</v>
      </c>
      <c r="B31" s="646" t="s">
        <v>74</v>
      </c>
      <c r="C31" s="646" t="s">
        <v>269</v>
      </c>
      <c r="D31" s="646" t="s">
        <v>934</v>
      </c>
      <c r="E31" s="495">
        <v>151</v>
      </c>
      <c r="F31" s="495">
        <v>654</v>
      </c>
      <c r="G31" s="88">
        <v>1</v>
      </c>
      <c r="H31"/>
    </row>
    <row r="32" spans="1:8" x14ac:dyDescent="0.25">
      <c r="A32" s="646"/>
      <c r="B32" s="646" t="s">
        <v>590</v>
      </c>
      <c r="C32" s="646" t="s">
        <v>592</v>
      </c>
      <c r="D32" s="646" t="s">
        <v>934</v>
      </c>
      <c r="E32" s="495">
        <v>249</v>
      </c>
      <c r="F32" s="495">
        <v>1282</v>
      </c>
      <c r="G32" s="88">
        <v>1</v>
      </c>
      <c r="H32"/>
    </row>
    <row r="33" spans="1:8" x14ac:dyDescent="0.25">
      <c r="A33" s="646"/>
      <c r="B33" s="646" t="s">
        <v>591</v>
      </c>
      <c r="C33" s="646" t="s">
        <v>593</v>
      </c>
      <c r="D33" s="646" t="s">
        <v>934</v>
      </c>
      <c r="E33" s="495">
        <v>420</v>
      </c>
      <c r="F33" s="495">
        <v>2200</v>
      </c>
      <c r="G33" s="88">
        <v>1</v>
      </c>
      <c r="H33"/>
    </row>
    <row r="34" spans="1:8" x14ac:dyDescent="0.25">
      <c r="A34" s="646"/>
      <c r="B34" s="646" t="s">
        <v>76</v>
      </c>
      <c r="C34" s="646" t="s">
        <v>162</v>
      </c>
      <c r="D34" s="646" t="s">
        <v>934</v>
      </c>
      <c r="E34" s="495">
        <v>72</v>
      </c>
      <c r="F34" s="495">
        <v>462</v>
      </c>
      <c r="G34" s="88">
        <v>1</v>
      </c>
      <c r="H34"/>
    </row>
    <row r="35" spans="1:8" x14ac:dyDescent="0.25">
      <c r="A35" s="646" t="s">
        <v>596</v>
      </c>
      <c r="B35" s="646"/>
      <c r="C35" s="646"/>
      <c r="D35" s="646"/>
      <c r="E35" s="495">
        <v>892</v>
      </c>
      <c r="F35" s="495">
        <v>4598</v>
      </c>
      <c r="G35" s="88">
        <v>4</v>
      </c>
      <c r="H35"/>
    </row>
    <row r="36" spans="1:8" x14ac:dyDescent="0.25">
      <c r="A36" s="646" t="s">
        <v>814</v>
      </c>
      <c r="B36" s="646" t="s">
        <v>35</v>
      </c>
      <c r="C36" s="646" t="s">
        <v>121</v>
      </c>
      <c r="D36" s="646" t="s">
        <v>934</v>
      </c>
      <c r="E36" s="495">
        <v>40</v>
      </c>
      <c r="F36" s="495">
        <v>204</v>
      </c>
      <c r="G36" s="88">
        <v>1</v>
      </c>
      <c r="H36"/>
    </row>
    <row r="37" spans="1:8" x14ac:dyDescent="0.25">
      <c r="A37" s="646" t="s">
        <v>815</v>
      </c>
      <c r="B37" s="646"/>
      <c r="C37" s="646"/>
      <c r="D37" s="646"/>
      <c r="E37" s="495">
        <v>40</v>
      </c>
      <c r="F37" s="495">
        <v>204</v>
      </c>
      <c r="G37" s="88">
        <v>1</v>
      </c>
      <c r="H37"/>
    </row>
    <row r="38" spans="1:8" x14ac:dyDescent="0.25">
      <c r="A38" s="646" t="s">
        <v>561</v>
      </c>
      <c r="B38" s="646" t="s">
        <v>441</v>
      </c>
      <c r="C38" s="646" t="s">
        <v>142</v>
      </c>
      <c r="D38" s="646" t="s">
        <v>934</v>
      </c>
      <c r="E38" s="495">
        <v>65</v>
      </c>
      <c r="F38" s="495">
        <v>327</v>
      </c>
      <c r="G38" s="88">
        <v>1</v>
      </c>
      <c r="H38"/>
    </row>
    <row r="39" spans="1:8" x14ac:dyDescent="0.25">
      <c r="A39" s="646" t="s">
        <v>933</v>
      </c>
      <c r="B39" s="646"/>
      <c r="C39" s="646"/>
      <c r="D39" s="646"/>
      <c r="E39" s="495">
        <v>65</v>
      </c>
      <c r="F39" s="495">
        <v>327</v>
      </c>
      <c r="G39" s="88">
        <v>1</v>
      </c>
      <c r="H39"/>
    </row>
    <row r="40" spans="1:8" x14ac:dyDescent="0.25">
      <c r="A40" s="646" t="s">
        <v>932</v>
      </c>
      <c r="B40" s="646" t="s">
        <v>31</v>
      </c>
      <c r="C40" s="646" t="s">
        <v>117</v>
      </c>
      <c r="D40" s="646" t="s">
        <v>935</v>
      </c>
      <c r="E40" s="495">
        <v>204</v>
      </c>
      <c r="F40" s="495">
        <v>1265</v>
      </c>
      <c r="G40" s="88">
        <v>1</v>
      </c>
      <c r="H40"/>
    </row>
    <row r="41" spans="1:8" x14ac:dyDescent="0.25">
      <c r="A41" s="646"/>
      <c r="B41" s="646" t="s">
        <v>34</v>
      </c>
      <c r="C41" s="646" t="s">
        <v>120</v>
      </c>
      <c r="D41" s="646" t="s">
        <v>934</v>
      </c>
      <c r="E41" s="495">
        <v>10</v>
      </c>
      <c r="F41" s="495">
        <v>64</v>
      </c>
      <c r="G41" s="88">
        <v>1</v>
      </c>
      <c r="H41"/>
    </row>
    <row r="42" spans="1:8" x14ac:dyDescent="0.25">
      <c r="A42" s="646"/>
      <c r="B42" s="646" t="s">
        <v>578</v>
      </c>
      <c r="C42" s="646" t="s">
        <v>579</v>
      </c>
      <c r="D42" s="646" t="s">
        <v>934</v>
      </c>
      <c r="E42" s="495">
        <v>32</v>
      </c>
      <c r="F42" s="495">
        <v>131</v>
      </c>
      <c r="G42" s="88">
        <v>1</v>
      </c>
      <c r="H42"/>
    </row>
    <row r="43" spans="1:8" x14ac:dyDescent="0.25">
      <c r="A43" s="646"/>
      <c r="B43" s="646" t="s">
        <v>32</v>
      </c>
      <c r="C43" s="646" t="s">
        <v>118</v>
      </c>
      <c r="D43" s="646" t="s">
        <v>935</v>
      </c>
      <c r="E43" s="495">
        <v>365</v>
      </c>
      <c r="F43" s="495">
        <v>2366</v>
      </c>
      <c r="G43" s="88">
        <v>1</v>
      </c>
      <c r="H43"/>
    </row>
    <row r="44" spans="1:8" x14ac:dyDescent="0.25">
      <c r="A44" s="646" t="s">
        <v>938</v>
      </c>
      <c r="B44" s="646"/>
      <c r="C44" s="646"/>
      <c r="D44" s="646"/>
      <c r="E44" s="495">
        <v>611</v>
      </c>
      <c r="F44" s="495">
        <v>3826</v>
      </c>
      <c r="G44" s="88">
        <v>4</v>
      </c>
      <c r="H44"/>
    </row>
    <row r="45" spans="1:8" x14ac:dyDescent="0.25">
      <c r="A45" s="646" t="s">
        <v>204</v>
      </c>
      <c r="B45" s="646"/>
      <c r="C45" s="646"/>
      <c r="D45" s="646"/>
      <c r="E45" s="495">
        <v>3574</v>
      </c>
      <c r="F45" s="49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21" sqref="E21"/>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1" customWidth="1"/>
    <col min="8" max="16384" width="9.140625" style="1"/>
  </cols>
  <sheetData>
    <row r="1" spans="2:7" ht="12" customHeight="1" thickBot="1" x14ac:dyDescent="0.3"/>
    <row r="2" spans="2:7" s="537" customFormat="1" ht="12.75" x14ac:dyDescent="0.2">
      <c r="B2" s="538" t="s">
        <v>939</v>
      </c>
      <c r="C2" s="539"/>
      <c r="D2" s="539"/>
      <c r="E2" s="539"/>
      <c r="F2" s="539"/>
      <c r="G2" s="566"/>
    </row>
    <row r="3" spans="2:7" s="537" customFormat="1" ht="12.75" x14ac:dyDescent="0.2">
      <c r="B3" s="540">
        <f>Report_Date</f>
        <v>43434</v>
      </c>
      <c r="C3" s="541"/>
      <c r="D3" s="541"/>
      <c r="E3" s="541"/>
      <c r="F3" s="541"/>
      <c r="G3" s="567"/>
    </row>
    <row r="4" spans="2:7" s="537" customFormat="1" ht="13.5" thickBot="1" x14ac:dyDescent="0.25">
      <c r="B4" s="542"/>
      <c r="C4" s="543"/>
      <c r="D4" s="543"/>
      <c r="E4" s="543"/>
      <c r="F4" s="543"/>
      <c r="G4" s="568"/>
    </row>
    <row r="5" spans="2:7" s="537" customFormat="1" ht="13.5" thickBot="1" x14ac:dyDescent="0.25">
      <c r="B5" s="544" t="s">
        <v>329</v>
      </c>
      <c r="C5" s="545" t="s">
        <v>332</v>
      </c>
      <c r="D5" s="541"/>
      <c r="E5" s="541"/>
      <c r="F5" s="541"/>
      <c r="G5" s="567"/>
    </row>
    <row r="6" spans="2:7" s="537" customFormat="1" ht="13.5" thickBot="1" x14ac:dyDescent="0.25">
      <c r="B6" s="544" t="s">
        <v>22</v>
      </c>
      <c r="C6" s="545" t="s">
        <v>716</v>
      </c>
      <c r="D6" s="543"/>
      <c r="E6" s="543"/>
      <c r="F6" s="543"/>
      <c r="G6" s="568"/>
    </row>
    <row r="7" spans="2:7" s="537" customFormat="1" ht="13.5" thickBot="1" x14ac:dyDescent="0.25">
      <c r="B7" s="546"/>
      <c r="C7" s="541"/>
      <c r="D7" s="541"/>
      <c r="E7" s="541"/>
      <c r="F7" s="541"/>
      <c r="G7" s="569"/>
    </row>
    <row r="8" spans="2:7" s="537" customFormat="1" ht="13.5" thickBot="1" x14ac:dyDescent="0.25">
      <c r="B8" s="547" t="s">
        <v>0</v>
      </c>
      <c r="C8" s="548" t="s">
        <v>9</v>
      </c>
      <c r="D8" s="549" t="s">
        <v>8</v>
      </c>
      <c r="E8" s="565" t="s">
        <v>751</v>
      </c>
      <c r="F8" s="550" t="s">
        <v>823</v>
      </c>
      <c r="G8" s="551" t="s">
        <v>746</v>
      </c>
    </row>
    <row r="9" spans="2:7" s="537" customFormat="1" ht="12.75" x14ac:dyDescent="0.2">
      <c r="B9" s="1156" t="s">
        <v>18</v>
      </c>
      <c r="C9" s="560" t="s">
        <v>108</v>
      </c>
      <c r="D9" s="560" t="s">
        <v>189</v>
      </c>
      <c r="E9" s="553"/>
      <c r="F9" s="554"/>
      <c r="G9" s="588">
        <v>1</v>
      </c>
    </row>
    <row r="10" spans="2:7" s="537" customFormat="1" ht="12.75" x14ac:dyDescent="0.2">
      <c r="B10" s="1157"/>
      <c r="C10" s="560" t="s">
        <v>98</v>
      </c>
      <c r="D10" s="560" t="s">
        <v>184</v>
      </c>
      <c r="E10" s="555"/>
      <c r="F10" s="556"/>
      <c r="G10" s="589">
        <v>1</v>
      </c>
    </row>
    <row r="11" spans="2:7" s="557" customFormat="1" ht="12.75" x14ac:dyDescent="0.2">
      <c r="B11" s="1157"/>
      <c r="C11" s="560" t="s">
        <v>566</v>
      </c>
      <c r="D11" s="560" t="s">
        <v>570</v>
      </c>
      <c r="E11" s="555"/>
      <c r="F11" s="556"/>
      <c r="G11" s="589">
        <v>1</v>
      </c>
    </row>
    <row r="12" spans="2:7" s="537" customFormat="1" ht="12.75" x14ac:dyDescent="0.2">
      <c r="B12" s="1157"/>
      <c r="C12" s="560" t="s">
        <v>100</v>
      </c>
      <c r="D12" s="560" t="s">
        <v>186</v>
      </c>
      <c r="E12" s="555"/>
      <c r="F12" s="556"/>
      <c r="G12" s="589">
        <v>1</v>
      </c>
    </row>
    <row r="13" spans="2:7" s="537" customFormat="1" ht="12.75" x14ac:dyDescent="0.2">
      <c r="B13" s="1157"/>
      <c r="C13" s="560" t="s">
        <v>99</v>
      </c>
      <c r="D13" s="560" t="s">
        <v>185</v>
      </c>
      <c r="E13" s="555"/>
      <c r="F13" s="556"/>
      <c r="G13" s="589">
        <v>1</v>
      </c>
    </row>
    <row r="14" spans="2:7" s="537" customFormat="1" ht="12.75" x14ac:dyDescent="0.2">
      <c r="B14" s="1157"/>
      <c r="C14" s="560" t="s">
        <v>97</v>
      </c>
      <c r="D14" s="560" t="s">
        <v>183</v>
      </c>
      <c r="E14" s="555"/>
      <c r="F14" s="556"/>
      <c r="G14" s="589">
        <v>1</v>
      </c>
    </row>
    <row r="15" spans="2:7" s="537" customFormat="1" ht="12.75" x14ac:dyDescent="0.2">
      <c r="B15" s="1157"/>
      <c r="C15" s="560" t="s">
        <v>106</v>
      </c>
      <c r="D15" s="560" t="s">
        <v>188</v>
      </c>
      <c r="E15" s="555"/>
      <c r="F15" s="556"/>
      <c r="G15" s="589">
        <v>1</v>
      </c>
    </row>
    <row r="16" spans="2:7" s="537" customFormat="1" ht="12.75" x14ac:dyDescent="0.2">
      <c r="B16" s="1157"/>
      <c r="C16" s="560" t="s">
        <v>95</v>
      </c>
      <c r="D16" s="560" t="s">
        <v>181</v>
      </c>
      <c r="E16" s="555"/>
      <c r="F16" s="556"/>
      <c r="G16" s="589">
        <v>1</v>
      </c>
    </row>
    <row r="17" spans="2:9" s="537" customFormat="1" ht="12.75" x14ac:dyDescent="0.2">
      <c r="B17" s="1157"/>
      <c r="C17" s="560" t="s">
        <v>96</v>
      </c>
      <c r="D17" s="560" t="s">
        <v>182</v>
      </c>
      <c r="E17" s="555"/>
      <c r="F17" s="556"/>
      <c r="G17" s="589">
        <v>1</v>
      </c>
      <c r="I17" s="537" t="s">
        <v>722</v>
      </c>
    </row>
    <row r="18" spans="2:9" s="537" customFormat="1" ht="12.75" x14ac:dyDescent="0.2">
      <c r="B18" s="1157"/>
      <c r="C18" s="560" t="s">
        <v>567</v>
      </c>
      <c r="D18" s="560" t="s">
        <v>571</v>
      </c>
      <c r="E18" s="555"/>
      <c r="F18" s="556"/>
      <c r="G18" s="589">
        <v>1</v>
      </c>
    </row>
    <row r="19" spans="2:9" s="537" customFormat="1" ht="13.5" thickBot="1" x14ac:dyDescent="0.25">
      <c r="B19" s="1158"/>
      <c r="C19" s="560" t="s">
        <v>568</v>
      </c>
      <c r="D19" s="560" t="s">
        <v>572</v>
      </c>
      <c r="E19" s="555"/>
      <c r="F19" s="556"/>
      <c r="G19" s="589">
        <v>1</v>
      </c>
    </row>
    <row r="20" spans="2:9" s="537" customFormat="1" ht="13.5" thickBot="1" x14ac:dyDescent="0.25">
      <c r="B20" s="1159" t="s">
        <v>597</v>
      </c>
      <c r="C20" s="1160"/>
      <c r="D20" s="1161"/>
      <c r="E20" s="561"/>
      <c r="F20" s="562"/>
      <c r="G20" s="590">
        <v>11</v>
      </c>
    </row>
    <row r="21" spans="2:9" s="537" customFormat="1" ht="12.75" x14ac:dyDescent="0.2">
      <c r="B21" s="1156" t="s">
        <v>11</v>
      </c>
      <c r="C21" s="560" t="s">
        <v>26</v>
      </c>
      <c r="D21" s="560" t="s">
        <v>112</v>
      </c>
      <c r="E21" s="555"/>
      <c r="F21" s="556"/>
      <c r="G21" s="589">
        <v>1</v>
      </c>
    </row>
    <row r="22" spans="2:9" s="537" customFormat="1" ht="13.5" thickBot="1" x14ac:dyDescent="0.25">
      <c r="B22" s="1158"/>
      <c r="C22" s="560" t="s">
        <v>29</v>
      </c>
      <c r="D22" s="560" t="s">
        <v>115</v>
      </c>
      <c r="E22" s="555"/>
      <c r="F22" s="556"/>
      <c r="G22" s="589">
        <v>1</v>
      </c>
    </row>
    <row r="23" spans="2:9" s="537" customFormat="1" ht="13.5" thickBot="1" x14ac:dyDescent="0.25">
      <c r="B23" s="1159" t="s">
        <v>940</v>
      </c>
      <c r="C23" s="1160"/>
      <c r="D23" s="1161"/>
      <c r="E23" s="561"/>
      <c r="F23" s="562"/>
      <c r="G23" s="590">
        <v>2</v>
      </c>
    </row>
    <row r="24" spans="2:9" s="537" customFormat="1" ht="13.5" thickBot="1" x14ac:dyDescent="0.25">
      <c r="B24" s="552" t="s">
        <v>13</v>
      </c>
      <c r="C24" s="560" t="s">
        <v>498</v>
      </c>
      <c r="D24" s="560" t="s">
        <v>265</v>
      </c>
      <c r="E24" s="555"/>
      <c r="F24" s="556"/>
      <c r="G24" s="589">
        <v>1</v>
      </c>
    </row>
    <row r="25" spans="2:9" s="537" customFormat="1" ht="13.5" thickBot="1" x14ac:dyDescent="0.25">
      <c r="B25" s="1159" t="s">
        <v>598</v>
      </c>
      <c r="C25" s="1162"/>
      <c r="D25" s="1163"/>
      <c r="E25" s="558"/>
      <c r="F25" s="559"/>
      <c r="G25" s="591">
        <v>1</v>
      </c>
    </row>
    <row r="26" spans="2:9" s="537" customFormat="1" ht="12.75" x14ac:dyDescent="0.2">
      <c r="B26" s="1156" t="s">
        <v>16</v>
      </c>
      <c r="C26" s="560" t="s">
        <v>58</v>
      </c>
      <c r="D26" s="560" t="s">
        <v>144</v>
      </c>
      <c r="E26" s="555"/>
      <c r="F26" s="556"/>
      <c r="G26" s="589">
        <v>1</v>
      </c>
    </row>
    <row r="27" spans="2:9" s="537" customFormat="1" ht="13.5" thickBot="1" x14ac:dyDescent="0.25">
      <c r="B27" s="1158"/>
      <c r="C27" s="560" t="s">
        <v>57</v>
      </c>
      <c r="D27" s="560" t="s">
        <v>143</v>
      </c>
      <c r="E27" s="555"/>
      <c r="F27" s="556"/>
      <c r="G27" s="589">
        <v>1</v>
      </c>
    </row>
    <row r="28" spans="2:9" s="537" customFormat="1" ht="13.5" thickBot="1" x14ac:dyDescent="0.25">
      <c r="B28" s="1159" t="s">
        <v>599</v>
      </c>
      <c r="C28" s="1160"/>
      <c r="D28" s="1161"/>
      <c r="E28" s="561"/>
      <c r="F28" s="562"/>
      <c r="G28" s="590">
        <v>2</v>
      </c>
    </row>
    <row r="29" spans="2:9" s="537" customFormat="1" ht="12.75" x14ac:dyDescent="0.2">
      <c r="B29" s="1156" t="s">
        <v>17</v>
      </c>
      <c r="C29" s="560" t="s">
        <v>88</v>
      </c>
      <c r="D29" s="560" t="s">
        <v>174</v>
      </c>
      <c r="E29" s="555"/>
      <c r="F29" s="556"/>
      <c r="G29" s="589">
        <v>1</v>
      </c>
    </row>
    <row r="30" spans="2:9" s="537" customFormat="1" ht="12.75" x14ac:dyDescent="0.2">
      <c r="B30" s="1157"/>
      <c r="C30" s="560" t="s">
        <v>60</v>
      </c>
      <c r="D30" s="560" t="s">
        <v>146</v>
      </c>
      <c r="E30" s="555"/>
      <c r="F30" s="556"/>
      <c r="G30" s="589">
        <v>1</v>
      </c>
    </row>
    <row r="31" spans="2:9" s="537" customFormat="1" ht="12.75" x14ac:dyDescent="0.2">
      <c r="B31" s="1157"/>
      <c r="C31" s="560" t="s">
        <v>71</v>
      </c>
      <c r="D31" s="560" t="s">
        <v>157</v>
      </c>
      <c r="E31" s="555"/>
      <c r="F31" s="556"/>
      <c r="G31" s="589">
        <v>1</v>
      </c>
    </row>
    <row r="32" spans="2:9" s="537" customFormat="1" ht="12.75" x14ac:dyDescent="0.2">
      <c r="B32" s="1157"/>
      <c r="C32" s="560" t="s">
        <v>72</v>
      </c>
      <c r="D32" s="560" t="s">
        <v>158</v>
      </c>
      <c r="E32" s="555"/>
      <c r="F32" s="556"/>
      <c r="G32" s="589">
        <v>1</v>
      </c>
    </row>
    <row r="33" spans="2:7" s="537" customFormat="1" ht="12.75" x14ac:dyDescent="0.2">
      <c r="B33" s="1157"/>
      <c r="C33" s="560" t="s">
        <v>78</v>
      </c>
      <c r="D33" s="560" t="s">
        <v>164</v>
      </c>
      <c r="E33" s="555"/>
      <c r="F33" s="556"/>
      <c r="G33" s="589">
        <v>1</v>
      </c>
    </row>
    <row r="34" spans="2:7" x14ac:dyDescent="0.25">
      <c r="B34" s="1157"/>
      <c r="C34" s="560" t="s">
        <v>79</v>
      </c>
      <c r="D34" s="560" t="s">
        <v>165</v>
      </c>
      <c r="E34" s="555"/>
      <c r="F34" s="556"/>
      <c r="G34" s="589">
        <v>1</v>
      </c>
    </row>
    <row r="35" spans="2:7" x14ac:dyDescent="0.25">
      <c r="B35" s="1157"/>
      <c r="C35" s="560" t="s">
        <v>75</v>
      </c>
      <c r="D35" s="560" t="s">
        <v>161</v>
      </c>
      <c r="E35" s="555"/>
      <c r="F35" s="556"/>
      <c r="G35" s="589">
        <v>1</v>
      </c>
    </row>
    <row r="36" spans="2:7" x14ac:dyDescent="0.25">
      <c r="B36" s="1157"/>
      <c r="C36" s="560" t="s">
        <v>77</v>
      </c>
      <c r="D36" s="560" t="s">
        <v>163</v>
      </c>
      <c r="E36" s="555"/>
      <c r="F36" s="556"/>
      <c r="G36" s="589">
        <v>1</v>
      </c>
    </row>
    <row r="37" spans="2:7" x14ac:dyDescent="0.25">
      <c r="B37" s="1157"/>
      <c r="C37" s="560" t="s">
        <v>92</v>
      </c>
      <c r="D37" s="560" t="s">
        <v>178</v>
      </c>
      <c r="E37" s="555"/>
      <c r="F37" s="556"/>
      <c r="G37" s="589">
        <v>1</v>
      </c>
    </row>
    <row r="38" spans="2:7" x14ac:dyDescent="0.25">
      <c r="B38" s="1157"/>
      <c r="C38" s="560" t="s">
        <v>80</v>
      </c>
      <c r="D38" s="560" t="s">
        <v>166</v>
      </c>
      <c r="E38" s="555"/>
      <c r="F38" s="556"/>
      <c r="G38" s="589">
        <v>1</v>
      </c>
    </row>
    <row r="39" spans="2:7" x14ac:dyDescent="0.25">
      <c r="B39" s="1157"/>
      <c r="C39" s="560" t="s">
        <v>507</v>
      </c>
      <c r="D39" s="560" t="s">
        <v>508</v>
      </c>
      <c r="E39" s="555"/>
      <c r="F39" s="556"/>
      <c r="G39" s="589">
        <v>1</v>
      </c>
    </row>
    <row r="40" spans="2:7" x14ac:dyDescent="0.25">
      <c r="B40" s="1157"/>
      <c r="C40" s="560" t="s">
        <v>69</v>
      </c>
      <c r="D40" s="560" t="s">
        <v>155</v>
      </c>
      <c r="E40" s="555"/>
      <c r="F40" s="556"/>
      <c r="G40" s="589">
        <v>1</v>
      </c>
    </row>
    <row r="41" spans="2:7" x14ac:dyDescent="0.25">
      <c r="B41" s="1157"/>
      <c r="C41" s="560" t="s">
        <v>90</v>
      </c>
      <c r="D41" s="560" t="s">
        <v>176</v>
      </c>
      <c r="E41" s="555"/>
      <c r="F41" s="556"/>
      <c r="G41" s="589">
        <v>1</v>
      </c>
    </row>
    <row r="42" spans="2:7" x14ac:dyDescent="0.25">
      <c r="B42" s="1157"/>
      <c r="C42" s="560" t="s">
        <v>81</v>
      </c>
      <c r="D42" s="560" t="s">
        <v>167</v>
      </c>
      <c r="E42" s="555"/>
      <c r="F42" s="556"/>
      <c r="G42" s="589">
        <v>1</v>
      </c>
    </row>
    <row r="43" spans="2:7" x14ac:dyDescent="0.25">
      <c r="B43" s="1157"/>
      <c r="C43" s="560" t="s">
        <v>73</v>
      </c>
      <c r="D43" s="560" t="s">
        <v>159</v>
      </c>
      <c r="E43" s="555"/>
      <c r="F43" s="556"/>
      <c r="G43" s="589">
        <v>1</v>
      </c>
    </row>
    <row r="44" spans="2:7" x14ac:dyDescent="0.25">
      <c r="B44" s="1157"/>
      <c r="C44" s="560" t="s">
        <v>91</v>
      </c>
      <c r="D44" s="560" t="s">
        <v>177</v>
      </c>
      <c r="E44" s="555"/>
      <c r="F44" s="556"/>
      <c r="G44" s="589">
        <v>1</v>
      </c>
    </row>
    <row r="45" spans="2:7" x14ac:dyDescent="0.25">
      <c r="B45" s="1157"/>
      <c r="C45" s="560" t="s">
        <v>74</v>
      </c>
      <c r="D45" s="560" t="s">
        <v>160</v>
      </c>
      <c r="E45" s="555"/>
      <c r="F45" s="556"/>
      <c r="G45" s="589">
        <v>1</v>
      </c>
    </row>
    <row r="46" spans="2:7" x14ac:dyDescent="0.25">
      <c r="B46" s="1157"/>
      <c r="C46" s="560" t="s">
        <v>82</v>
      </c>
      <c r="D46" s="560" t="s">
        <v>168</v>
      </c>
      <c r="E46" s="555"/>
      <c r="F46" s="556"/>
      <c r="G46" s="589">
        <v>1</v>
      </c>
    </row>
    <row r="47" spans="2:7" x14ac:dyDescent="0.25">
      <c r="B47" s="1157"/>
      <c r="C47" s="560" t="s">
        <v>63</v>
      </c>
      <c r="D47" s="560" t="s">
        <v>149</v>
      </c>
      <c r="E47" s="555"/>
      <c r="F47" s="556"/>
      <c r="G47" s="589">
        <v>1</v>
      </c>
    </row>
    <row r="48" spans="2:7" x14ac:dyDescent="0.25">
      <c r="B48" s="1157"/>
      <c r="C48" s="560" t="s">
        <v>231</v>
      </c>
      <c r="D48" s="560" t="s">
        <v>266</v>
      </c>
      <c r="E48" s="555"/>
      <c r="F48" s="556"/>
      <c r="G48" s="589">
        <v>1</v>
      </c>
    </row>
    <row r="49" spans="2:7" x14ac:dyDescent="0.25">
      <c r="B49" s="1157"/>
      <c r="C49" s="560" t="s">
        <v>262</v>
      </c>
      <c r="D49" s="560" t="s">
        <v>503</v>
      </c>
      <c r="E49" s="555"/>
      <c r="F49" s="556"/>
      <c r="G49" s="589">
        <v>1</v>
      </c>
    </row>
    <row r="50" spans="2:7" x14ac:dyDescent="0.25">
      <c r="B50" s="1157"/>
      <c r="C50" s="560" t="s">
        <v>263</v>
      </c>
      <c r="D50" s="560" t="s">
        <v>504</v>
      </c>
      <c r="E50" s="555"/>
      <c r="F50" s="556"/>
      <c r="G50" s="589">
        <v>1</v>
      </c>
    </row>
    <row r="51" spans="2:7" x14ac:dyDescent="0.25">
      <c r="B51" s="1157"/>
      <c r="C51" s="560" t="s">
        <v>70</v>
      </c>
      <c r="D51" s="560" t="s">
        <v>156</v>
      </c>
      <c r="E51" s="555"/>
      <c r="F51" s="556"/>
      <c r="G51" s="589">
        <v>1</v>
      </c>
    </row>
    <row r="52" spans="2:7" x14ac:dyDescent="0.25">
      <c r="B52" s="1157"/>
      <c r="C52" s="560" t="s">
        <v>64</v>
      </c>
      <c r="D52" s="560" t="s">
        <v>150</v>
      </c>
      <c r="E52" s="555"/>
      <c r="F52" s="556"/>
      <c r="G52" s="589">
        <v>1</v>
      </c>
    </row>
    <row r="53" spans="2:7" x14ac:dyDescent="0.25">
      <c r="B53" s="1157"/>
      <c r="C53" s="560" t="s">
        <v>83</v>
      </c>
      <c r="D53" s="560" t="s">
        <v>169</v>
      </c>
      <c r="E53" s="555"/>
      <c r="F53" s="556"/>
      <c r="G53" s="589">
        <v>1</v>
      </c>
    </row>
    <row r="54" spans="2:7" x14ac:dyDescent="0.25">
      <c r="B54" s="1157"/>
      <c r="C54" s="560" t="s">
        <v>518</v>
      </c>
      <c r="D54" s="560" t="s">
        <v>519</v>
      </c>
      <c r="E54" s="555"/>
      <c r="F54" s="556"/>
      <c r="G54" s="589">
        <v>1</v>
      </c>
    </row>
    <row r="55" spans="2:7" x14ac:dyDescent="0.25">
      <c r="B55" s="1157"/>
      <c r="C55" s="560" t="s">
        <v>84</v>
      </c>
      <c r="D55" s="560" t="s">
        <v>170</v>
      </c>
      <c r="E55" s="555"/>
      <c r="F55" s="556"/>
      <c r="G55" s="589">
        <v>1</v>
      </c>
    </row>
    <row r="56" spans="2:7" x14ac:dyDescent="0.25">
      <c r="B56" s="1157"/>
      <c r="C56" s="560" t="s">
        <v>87</v>
      </c>
      <c r="D56" s="560" t="s">
        <v>173</v>
      </c>
      <c r="E56" s="555"/>
      <c r="F56" s="556"/>
      <c r="G56" s="589">
        <v>1</v>
      </c>
    </row>
    <row r="57" spans="2:7" x14ac:dyDescent="0.25">
      <c r="B57" s="1157"/>
      <c r="C57" s="560" t="s">
        <v>85</v>
      </c>
      <c r="D57" s="560" t="s">
        <v>171</v>
      </c>
      <c r="E57" s="555"/>
      <c r="F57" s="556"/>
      <c r="G57" s="589">
        <v>1</v>
      </c>
    </row>
    <row r="58" spans="2:7" x14ac:dyDescent="0.25">
      <c r="B58" s="1157"/>
      <c r="C58" s="560" t="s">
        <v>505</v>
      </c>
      <c r="D58" s="560" t="s">
        <v>506</v>
      </c>
      <c r="E58" s="555"/>
      <c r="F58" s="556"/>
      <c r="G58" s="589">
        <v>1</v>
      </c>
    </row>
    <row r="59" spans="2:7" x14ac:dyDescent="0.25">
      <c r="B59" s="1157"/>
      <c r="C59" s="560" t="s">
        <v>67</v>
      </c>
      <c r="D59" s="560" t="s">
        <v>153</v>
      </c>
      <c r="E59" s="555"/>
      <c r="F59" s="556"/>
      <c r="G59" s="589">
        <v>1</v>
      </c>
    </row>
    <row r="60" spans="2:7" x14ac:dyDescent="0.25">
      <c r="B60" s="1157"/>
      <c r="C60" s="560" t="s">
        <v>89</v>
      </c>
      <c r="D60" s="560" t="s">
        <v>175</v>
      </c>
      <c r="E60" s="555"/>
      <c r="F60" s="556"/>
      <c r="G60" s="589">
        <v>1</v>
      </c>
    </row>
    <row r="61" spans="2:7" x14ac:dyDescent="0.25">
      <c r="B61" s="1157"/>
      <c r="C61" s="560" t="s">
        <v>86</v>
      </c>
      <c r="D61" s="560" t="s">
        <v>172</v>
      </c>
      <c r="E61" s="555"/>
      <c r="F61" s="556"/>
      <c r="G61" s="589">
        <v>1</v>
      </c>
    </row>
    <row r="62" spans="2:7" x14ac:dyDescent="0.25">
      <c r="B62" s="1157"/>
      <c r="C62" s="560" t="s">
        <v>94</v>
      </c>
      <c r="D62" s="560" t="s">
        <v>180</v>
      </c>
      <c r="E62" s="555"/>
      <c r="F62" s="556"/>
      <c r="G62" s="589">
        <v>1</v>
      </c>
    </row>
    <row r="63" spans="2:7" ht="15.75" thickBot="1" x14ac:dyDescent="0.3">
      <c r="B63" s="1158"/>
      <c r="C63" s="560" t="s">
        <v>93</v>
      </c>
      <c r="D63" s="560" t="s">
        <v>179</v>
      </c>
      <c r="E63" s="555"/>
      <c r="F63" s="556"/>
      <c r="G63" s="589">
        <v>1</v>
      </c>
    </row>
    <row r="64" spans="2:7" ht="15.75" thickBot="1" x14ac:dyDescent="0.3">
      <c r="B64" s="1159" t="s">
        <v>596</v>
      </c>
      <c r="C64" s="1162"/>
      <c r="D64" s="1163"/>
      <c r="E64" s="561"/>
      <c r="F64" s="562"/>
      <c r="G64" s="590">
        <v>35</v>
      </c>
    </row>
    <row r="65" spans="2:7" ht="15.75" thickBot="1" x14ac:dyDescent="0.3">
      <c r="B65" s="552" t="s">
        <v>932</v>
      </c>
      <c r="C65" s="560" t="s">
        <v>33</v>
      </c>
      <c r="D65" s="560" t="s">
        <v>119</v>
      </c>
      <c r="E65" s="555"/>
      <c r="F65" s="556"/>
      <c r="G65" s="589">
        <v>1</v>
      </c>
    </row>
    <row r="66" spans="2:7" ht="15.75" thickBot="1" x14ac:dyDescent="0.3">
      <c r="B66" s="1159" t="s">
        <v>938</v>
      </c>
      <c r="C66" s="1160"/>
      <c r="D66" s="1161"/>
      <c r="E66" s="561"/>
      <c r="F66" s="562"/>
      <c r="G66" s="590">
        <v>1</v>
      </c>
    </row>
    <row r="67" spans="2:7" ht="15.75" thickBot="1" x14ac:dyDescent="0.3">
      <c r="B67" s="1164" t="s">
        <v>204</v>
      </c>
      <c r="C67" s="1165"/>
      <c r="D67" s="1166"/>
      <c r="E67" s="563"/>
      <c r="F67" s="564"/>
      <c r="G67" s="592">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H36" sqref="H36"/>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101">
        <f>Report_Date</f>
        <v>43434</v>
      </c>
      <c r="D5" s="1101"/>
      <c r="E5" s="1101"/>
      <c r="F5" s="1101"/>
      <c r="G5" s="1101"/>
      <c r="H5" s="1101"/>
      <c r="I5" s="1101"/>
      <c r="J5" s="1101"/>
      <c r="K5" s="1101"/>
      <c r="L5" s="1101"/>
      <c r="M5" s="1101"/>
      <c r="N5" s="1101"/>
      <c r="O5" s="1101"/>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1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F21" sqref="F21"/>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5"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61"/>
      <c r="Y1" s="763"/>
      <c r="Z1" s="766"/>
      <c r="AA1" s="38"/>
      <c r="AU1" s="5"/>
      <c r="BA1" s="57"/>
      <c r="BB1" s="57"/>
    </row>
    <row r="2" spans="1:54" s="1" customFormat="1" ht="21.75" customHeight="1" x14ac:dyDescent="0.25">
      <c r="A2" s="1167" t="s">
        <v>734</v>
      </c>
      <c r="B2" s="1168"/>
      <c r="C2" s="1168"/>
      <c r="D2" s="158"/>
      <c r="E2" s="158"/>
      <c r="F2" s="158"/>
      <c r="G2" s="158"/>
      <c r="H2" s="158"/>
      <c r="I2" s="158"/>
      <c r="J2" s="158"/>
      <c r="K2" s="158"/>
      <c r="L2" s="158"/>
      <c r="M2" s="158"/>
      <c r="N2" s="158"/>
      <c r="O2" s="158"/>
      <c r="P2" s="158"/>
      <c r="Q2" s="158"/>
      <c r="R2" s="158"/>
      <c r="S2" s="158"/>
      <c r="T2" s="760"/>
      <c r="U2" s="186"/>
      <c r="V2" s="186"/>
      <c r="W2" s="186"/>
      <c r="X2" s="761"/>
      <c r="Y2" s="154"/>
      <c r="Z2" s="161"/>
      <c r="AA2" s="38"/>
      <c r="AU2" s="5"/>
      <c r="BA2" s="57"/>
      <c r="BB2" s="57"/>
    </row>
    <row r="3" spans="1:54" s="1" customFormat="1" ht="21.75" customHeight="1" x14ac:dyDescent="0.25">
      <c r="A3" s="759">
        <f>Report_Date</f>
        <v>43434</v>
      </c>
      <c r="B3" s="757"/>
      <c r="C3" s="757"/>
      <c r="D3" s="56"/>
      <c r="E3" s="56"/>
      <c r="F3" s="56"/>
      <c r="G3" s="56"/>
      <c r="H3" s="56"/>
      <c r="I3" s="56"/>
      <c r="J3" s="56"/>
      <c r="K3" s="56"/>
      <c r="L3" s="56"/>
      <c r="M3" s="56"/>
      <c r="N3" s="56"/>
      <c r="O3" s="56"/>
      <c r="P3" s="56"/>
      <c r="Q3" s="56"/>
      <c r="R3" s="56"/>
      <c r="S3" s="56"/>
      <c r="T3" s="56"/>
      <c r="U3" s="758"/>
      <c r="V3" s="758"/>
      <c r="W3" s="758"/>
      <c r="X3" s="762"/>
      <c r="Y3" s="154"/>
      <c r="Z3" s="161"/>
      <c r="AA3" s="38"/>
      <c r="AU3" s="5">
        <v>0</v>
      </c>
      <c r="BA3" s="57"/>
      <c r="BB3" s="57"/>
    </row>
    <row r="4" spans="1:54" ht="57" customHeight="1" x14ac:dyDescent="0.25">
      <c r="A4" s="397" t="s">
        <v>484</v>
      </c>
      <c r="B4" s="187" t="s">
        <v>191</v>
      </c>
      <c r="C4" s="187" t="s">
        <v>202</v>
      </c>
      <c r="D4" s="187" t="s">
        <v>10</v>
      </c>
      <c r="E4" s="187" t="s">
        <v>1</v>
      </c>
      <c r="F4" s="187" t="s">
        <v>1083</v>
      </c>
      <c r="G4" s="187" t="s">
        <v>735</v>
      </c>
      <c r="H4" s="398" t="s">
        <v>482</v>
      </c>
      <c r="I4" s="398" t="s">
        <v>483</v>
      </c>
      <c r="J4" s="188" t="s">
        <v>736</v>
      </c>
      <c r="K4" s="188" t="s">
        <v>737</v>
      </c>
      <c r="L4" s="188" t="s">
        <v>738</v>
      </c>
      <c r="M4" s="189" t="s">
        <v>739</v>
      </c>
      <c r="N4" s="189" t="s">
        <v>740</v>
      </c>
      <c r="O4" s="189" t="s">
        <v>856</v>
      </c>
      <c r="P4" s="794" t="s">
        <v>1084</v>
      </c>
      <c r="Q4" s="382" t="s">
        <v>1077</v>
      </c>
      <c r="R4" s="382" t="s">
        <v>1078</v>
      </c>
      <c r="S4" s="382" t="s">
        <v>1079</v>
      </c>
      <c r="T4" s="190" t="s">
        <v>741</v>
      </c>
      <c r="U4" s="191" t="s">
        <v>754</v>
      </c>
      <c r="V4" s="191" t="s">
        <v>521</v>
      </c>
      <c r="W4" s="191" t="s">
        <v>329</v>
      </c>
      <c r="X4" s="189" t="s">
        <v>221</v>
      </c>
      <c r="Y4" s="189" t="s">
        <v>858</v>
      </c>
      <c r="Z4" s="399" t="s">
        <v>859</v>
      </c>
      <c r="AA4" s="773" t="s">
        <v>1029</v>
      </c>
      <c r="AU4" s="5">
        <v>0</v>
      </c>
    </row>
    <row r="5" spans="1:54" ht="29.25" customHeight="1" x14ac:dyDescent="0.25">
      <c r="A5" s="943">
        <v>43313</v>
      </c>
      <c r="B5" s="293" t="s">
        <v>278</v>
      </c>
      <c r="C5" s="293" t="s">
        <v>278</v>
      </c>
      <c r="D5" s="293" t="s">
        <v>7</v>
      </c>
      <c r="E5" s="295" t="s">
        <v>814</v>
      </c>
      <c r="F5" s="293" t="s">
        <v>36</v>
      </c>
      <c r="G5" s="646">
        <v>1</v>
      </c>
      <c r="H5" s="293"/>
      <c r="I5" s="293"/>
      <c r="J5" s="19"/>
      <c r="K5" s="646"/>
      <c r="L5" s="646"/>
      <c r="M5" s="646"/>
      <c r="N5" s="646"/>
      <c r="O5" s="293"/>
      <c r="P5" s="293"/>
      <c r="Q5" s="293"/>
      <c r="R5" s="88">
        <v>16</v>
      </c>
      <c r="S5" s="88"/>
      <c r="T5" s="88">
        <v>16</v>
      </c>
      <c r="U5" s="384">
        <f ca="1">IF(Data_Shelter_t[[#This Row],[Status]]="Open",Data_Shelter_t[[#This Row],[HH Covered]],0)</f>
        <v>16</v>
      </c>
      <c r="V5" s="294" t="s">
        <v>122</v>
      </c>
      <c r="W5" s="385" t="str">
        <f ca="1">IFERROR(OFFSET(Camp_List[Status],MATCH(Data_Shelter_t[[#This Row],[Camp Name/ Relocation Sites]],Camp_List[Camp Name],0)-1,0,1,1),"")</f>
        <v>Open</v>
      </c>
      <c r="X5" s="386">
        <f ca="1">IFERROR(Data_Shelter_t[[#This Row],[HH Covered]]/OFFSET(Camp_List[HH],MATCH(Data_Shelter_t[[#This Row],[Camp Name/ Relocation Sites]],Camp_List[Camp Name],0)-1,0,1,1),"")</f>
        <v>2.4427480916030534E-2</v>
      </c>
      <c r="Y5" s="384">
        <f>Data_Shelter_t[[#This Row],['# of Permanent House Planned (Target)]]+Data_Shelter_t[[#This Row],['# of Individual House Planned (Target)]]</f>
        <v>0</v>
      </c>
      <c r="Z5" s="384">
        <f>Data_Shelter_t[[#This Row],['# of Permanent House Built]]+Data_Shelter_t[[#This Row],['# of Individual House Built]]</f>
        <v>16</v>
      </c>
      <c r="AU5" s="5"/>
    </row>
    <row r="6" spans="1:54" s="5" customFormat="1" ht="23.25" customHeight="1" x14ac:dyDescent="0.25">
      <c r="A6" s="943">
        <v>43245</v>
      </c>
      <c r="B6" s="293" t="s">
        <v>278</v>
      </c>
      <c r="C6" s="293" t="s">
        <v>278</v>
      </c>
      <c r="D6" s="293" t="s">
        <v>7</v>
      </c>
      <c r="E6" s="295" t="s">
        <v>814</v>
      </c>
      <c r="F6" s="293" t="s">
        <v>36</v>
      </c>
      <c r="G6" s="646">
        <v>1</v>
      </c>
      <c r="H6" s="293"/>
      <c r="I6" s="293"/>
      <c r="J6" s="19"/>
      <c r="K6" s="646"/>
      <c r="L6" s="646"/>
      <c r="M6" s="646"/>
      <c r="N6" s="646"/>
      <c r="O6" s="293"/>
      <c r="P6" s="293"/>
      <c r="Q6" s="88">
        <v>116</v>
      </c>
      <c r="R6" s="168">
        <v>100</v>
      </c>
      <c r="S6" s="88"/>
      <c r="T6" s="88">
        <v>100</v>
      </c>
      <c r="U6" s="384">
        <f ca="1">IF(Data_Shelter_t[[#This Row],[Status]]="Open",Data_Shelter_t[[#This Row],[HH Covered]],0)</f>
        <v>100</v>
      </c>
      <c r="V6" s="294" t="s">
        <v>122</v>
      </c>
      <c r="W6" s="385" t="str">
        <f ca="1">IFERROR(OFFSET(Camp_List[Status],MATCH(Data_Shelter_t[[#This Row],[Camp Name/ Relocation Sites]],Camp_List[Camp Name],0)-1,0,1,1),"")</f>
        <v>Open</v>
      </c>
      <c r="X6" s="386">
        <f ca="1">IFERROR(Data_Shelter_t[[#This Row],[HH Covered]]/OFFSET(Camp_List[HH],MATCH(Data_Shelter_t[[#This Row],[Camp Name/ Relocation Sites]],Camp_List[Camp Name],0)-1,0,1,1),"")</f>
        <v>0.15267175572519084</v>
      </c>
      <c r="Y6" s="384">
        <f>Data_Shelter_t[[#This Row],['# of Permanent House Planned (Target)]]+Data_Shelter_t[[#This Row],['# of Individual House Planned (Target)]]</f>
        <v>116</v>
      </c>
      <c r="Z6" s="384">
        <f>Data_Shelter_t[[#This Row],['# of Permanent House Built]]+Data_Shelter_t[[#This Row],['# of Individual House Built]]</f>
        <v>100</v>
      </c>
      <c r="AA6" s="38"/>
    </row>
    <row r="7" spans="1:54" s="5" customFormat="1" ht="23.25" customHeight="1" x14ac:dyDescent="0.25">
      <c r="A7" s="795">
        <v>42990</v>
      </c>
      <c r="B7" s="294" t="s">
        <v>1085</v>
      </c>
      <c r="C7" s="294" t="s">
        <v>1085</v>
      </c>
      <c r="D7" s="294" t="s">
        <v>7</v>
      </c>
      <c r="E7" s="306" t="s">
        <v>17</v>
      </c>
      <c r="F7" s="19" t="s">
        <v>66</v>
      </c>
      <c r="G7" s="19">
        <v>1</v>
      </c>
      <c r="H7" s="19"/>
      <c r="I7" s="19"/>
      <c r="J7" s="19"/>
      <c r="K7" s="19"/>
      <c r="L7" s="19"/>
      <c r="M7" s="19"/>
      <c r="N7" s="19"/>
      <c r="O7" s="19"/>
      <c r="P7" s="418">
        <v>2376</v>
      </c>
      <c r="Q7" s="793"/>
      <c r="R7" s="793"/>
      <c r="S7" s="384"/>
      <c r="T7" s="384">
        <v>2376</v>
      </c>
      <c r="U7" s="384">
        <f ca="1">IF(Data_Shelter_t[[#This Row],[Status]]="Open",Data_Shelter_t[[#This Row],[HH Covered]],0)</f>
        <v>2376</v>
      </c>
      <c r="V7" s="384" t="s">
        <v>152</v>
      </c>
      <c r="W7" s="385" t="str">
        <f ca="1">IFERROR(OFFSET(Camp_List[Status],MATCH(Data_Shelter_t[[#This Row],[Camp Name/ Relocation Sites]],Camp_List[Camp Name],0)-1,0,1,1),"")</f>
        <v>Open</v>
      </c>
      <c r="X7" s="386">
        <f ca="1">IFERROR(Data_Shelter_t[[#This Row],[HH Covered]]/OFFSET(Camp_List[HH],MATCH(Data_Shelter_t[[#This Row],[Camp Name/ Relocation Sites]],Camp_List[Camp Name],0)-1,0,1,1),"")</f>
        <v>1.045774647887324</v>
      </c>
      <c r="Y7" s="384">
        <f>Data_Shelter_t[[#This Row],['# of Permanent House Planned (Target)]]+Data_Shelter_t[[#This Row],['# of Individual House Planned (Target)]]</f>
        <v>0</v>
      </c>
      <c r="Z7" s="384">
        <f>Data_Shelter_t[[#This Row],['# of Permanent House Built]]+Data_Shelter_t[[#This Row],['# of Individual House Built]]</f>
        <v>0</v>
      </c>
      <c r="AA7" s="796"/>
    </row>
    <row r="8" spans="1:54" s="5" customFormat="1" ht="31.5" customHeight="1" x14ac:dyDescent="0.25">
      <c r="A8" s="795">
        <v>42990</v>
      </c>
      <c r="B8" s="294" t="s">
        <v>1085</v>
      </c>
      <c r="C8" s="294" t="s">
        <v>1085</v>
      </c>
      <c r="D8" s="294" t="s">
        <v>7</v>
      </c>
      <c r="E8" s="306" t="s">
        <v>17</v>
      </c>
      <c r="F8" s="19" t="s">
        <v>61</v>
      </c>
      <c r="G8" s="19">
        <v>1</v>
      </c>
      <c r="H8" s="19"/>
      <c r="I8" s="19"/>
      <c r="J8" s="19"/>
      <c r="K8" s="19"/>
      <c r="L8" s="19"/>
      <c r="M8" s="19"/>
      <c r="N8" s="19"/>
      <c r="O8" s="19"/>
      <c r="P8" s="418">
        <v>507</v>
      </c>
      <c r="Q8" s="793"/>
      <c r="R8" s="793"/>
      <c r="S8" s="384"/>
      <c r="T8" s="384">
        <v>507</v>
      </c>
      <c r="U8" s="384">
        <f ca="1">IF(Data_Shelter_t[[#This Row],[Status]]="Open",Data_Shelter_t[[#This Row],[HH Covered]],0)</f>
        <v>507</v>
      </c>
      <c r="V8" s="294" t="s">
        <v>147</v>
      </c>
      <c r="W8" s="385" t="str">
        <f ca="1">IFERROR(OFFSET(Camp_List[Status],MATCH(Data_Shelter_t[[#This Row],[Camp Name/ Relocation Sites]],Camp_List[Camp Name],0)-1,0,1,1),"")</f>
        <v>Open</v>
      </c>
      <c r="X8" s="386">
        <f ca="1">IFERROR(Data_Shelter_t[[#This Row],[HH Covered]]/OFFSET(Camp_List[HH],MATCH(Data_Shelter_t[[#This Row],[Camp Name/ Relocation Sites]],Camp_List[Camp Name],0)-1,0,1,1),"")</f>
        <v>0.2556732223903177</v>
      </c>
      <c r="Y8" s="384">
        <f>Data_Shelter_t[[#This Row],['# of Permanent House Planned (Target)]]+Data_Shelter_t[[#This Row],['# of Individual House Planned (Target)]]</f>
        <v>0</v>
      </c>
      <c r="Z8" s="384">
        <f>Data_Shelter_t[[#This Row],['# of Permanent House Built]]+Data_Shelter_t[[#This Row],['# of Individual House Built]]</f>
        <v>0</v>
      </c>
      <c r="AA8" s="796"/>
    </row>
    <row r="9" spans="1:54" s="5" customFormat="1" ht="23.25" customHeight="1" x14ac:dyDescent="0.25">
      <c r="A9" s="943">
        <v>42948</v>
      </c>
      <c r="B9" s="293" t="s">
        <v>282</v>
      </c>
      <c r="C9" s="293" t="s">
        <v>282</v>
      </c>
      <c r="D9" s="293" t="s">
        <v>7</v>
      </c>
      <c r="E9" s="295" t="s">
        <v>17</v>
      </c>
      <c r="F9" s="293" t="s">
        <v>582</v>
      </c>
      <c r="G9" s="646">
        <v>8</v>
      </c>
      <c r="H9" s="293"/>
      <c r="I9" s="293"/>
      <c r="J9" s="19">
        <v>10</v>
      </c>
      <c r="K9" s="646">
        <v>10</v>
      </c>
      <c r="L9" s="646"/>
      <c r="M9" s="646"/>
      <c r="N9" s="646"/>
      <c r="O9" s="293"/>
      <c r="P9" s="293"/>
      <c r="Q9" s="293"/>
      <c r="R9" s="293"/>
      <c r="S9" s="88"/>
      <c r="T9" s="88">
        <v>80</v>
      </c>
      <c r="U9" s="88">
        <f ca="1">IF(Data_Shelter_t[[#This Row],[Status]]="Open",Data_Shelter_t[[#This Row],[HH Covered]],0)</f>
        <v>80</v>
      </c>
      <c r="V9" s="294" t="s">
        <v>584</v>
      </c>
      <c r="W9" s="385" t="str">
        <f ca="1">IFERROR(OFFSET(Camp_List[Status],MATCH(Data_Shelter_t[[#This Row],[Camp Name/ Relocation Sites]],Camp_List[Camp Name],0)-1,0,1,1),"")</f>
        <v>Open</v>
      </c>
      <c r="X9" s="386">
        <f ca="1">IFERROR(Data_Shelter_t[[#This Row],[HH Covered]]/OFFSET(Camp_List[HH],MATCH(Data_Shelter_t[[#This Row],[Camp Name/ Relocation Sites]],Camp_List[Camp Name],0)-1,0,1,1),"")</f>
        <v>5.9970014992503748E-2</v>
      </c>
      <c r="Y9" s="384">
        <f>Data_Shelter_t[[#This Row],['# of Permanent House Planned (Target)]]+Data_Shelter_t[[#This Row],['# of Individual House Planned (Target)]]</f>
        <v>0</v>
      </c>
      <c r="Z9" s="384">
        <f>Data_Shelter_t[[#This Row],['# of Permanent House Built]]+Data_Shelter_t[[#This Row],['# of Individual House Built]]</f>
        <v>0</v>
      </c>
      <c r="AA9" s="38"/>
    </row>
    <row r="10" spans="1:54" ht="27" customHeight="1" x14ac:dyDescent="0.25">
      <c r="A10" s="795">
        <v>42947</v>
      </c>
      <c r="B10" s="294" t="s">
        <v>278</v>
      </c>
      <c r="C10" s="294" t="s">
        <v>278</v>
      </c>
      <c r="D10" s="294" t="s">
        <v>7</v>
      </c>
      <c r="E10" s="306" t="s">
        <v>13</v>
      </c>
      <c r="F10" s="294" t="s">
        <v>40</v>
      </c>
      <c r="G10" s="19">
        <v>1</v>
      </c>
      <c r="H10" s="294"/>
      <c r="I10" s="294"/>
      <c r="J10" s="19"/>
      <c r="K10" s="19"/>
      <c r="L10" s="19"/>
      <c r="M10" s="19"/>
      <c r="N10" s="19"/>
      <c r="O10" s="294"/>
      <c r="P10" s="418"/>
      <c r="Q10" s="384">
        <v>112</v>
      </c>
      <c r="R10" s="418">
        <v>112</v>
      </c>
      <c r="S10" s="384"/>
      <c r="T10" s="384">
        <v>112</v>
      </c>
      <c r="U10" s="384">
        <f ca="1">IF(Data_Shelter_t[[#This Row],[Status]]="Open",Data_Shelter_t[[#This Row],[HH Covered]],0)</f>
        <v>112</v>
      </c>
      <c r="V10" s="384" t="s">
        <v>126</v>
      </c>
      <c r="W10" s="385" t="str">
        <f ca="1">IFERROR(OFFSET(Camp_List[Status],MATCH(Data_Shelter_t[[#This Row],[Camp Name/ Relocation Sites]],Camp_List[Camp Name],0)-1,0,1,1),"")</f>
        <v>Open</v>
      </c>
      <c r="X10" s="386">
        <f ca="1">IFERROR(Data_Shelter_t[[#This Row],[HH Covered]]/OFFSET(Camp_List[HH],MATCH(Data_Shelter_t[[#This Row],[Camp Name/ Relocation Sites]],Camp_List[Camp Name],0)-1,0,1,1),"")</f>
        <v>8.339538346984364E-2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795">
        <v>42947</v>
      </c>
      <c r="B11" s="294" t="s">
        <v>1056</v>
      </c>
      <c r="C11" s="294" t="s">
        <v>1056</v>
      </c>
      <c r="D11" s="294" t="s">
        <v>7</v>
      </c>
      <c r="E11" s="306" t="s">
        <v>13</v>
      </c>
      <c r="F11" s="19" t="s">
        <v>40</v>
      </c>
      <c r="G11" s="19">
        <v>1</v>
      </c>
      <c r="H11" s="19"/>
      <c r="I11" s="19"/>
      <c r="J11" s="19"/>
      <c r="K11" s="19"/>
      <c r="L11" s="19"/>
      <c r="M11" s="19"/>
      <c r="N11" s="19"/>
      <c r="O11" s="19"/>
      <c r="P11" s="418"/>
      <c r="Q11" s="384">
        <v>480</v>
      </c>
      <c r="R11" s="775">
        <v>480</v>
      </c>
      <c r="S11" s="384"/>
      <c r="T11" s="384">
        <v>480</v>
      </c>
      <c r="U11" s="384">
        <f ca="1">IF(Data_Shelter_t[[#This Row],[Status]]="Open",Data_Shelter_t[[#This Row],[HH Covered]],0)</f>
        <v>480</v>
      </c>
      <c r="V11" s="384" t="s">
        <v>126</v>
      </c>
      <c r="W11" s="385" t="str">
        <f ca="1">IFERROR(OFFSET(Camp_List[Status],MATCH(Data_Shelter_t[[#This Row],[Camp Name/ Relocation Sites]],Camp_List[Camp Name],0)-1,0,1,1),"")</f>
        <v>Open</v>
      </c>
      <c r="X11" s="386">
        <f ca="1">IFERROR(Data_Shelter_t[[#This Row],[HH Covered]]/OFFSET(Camp_List[HH],MATCH(Data_Shelter_t[[#This Row],[Camp Name/ Relocation Sites]],Camp_List[Camp Name],0)-1,0,1,1),"")</f>
        <v>0.35740878629932987</v>
      </c>
      <c r="Y11" s="384">
        <f>Data_Shelter_t[[#This Row],['# of Permanent House Planned (Target)]]+Data_Shelter_t[[#This Row],['# of Individual House Planned (Target)]]</f>
        <v>480</v>
      </c>
      <c r="Z11" s="384">
        <f>Data_Shelter_t[[#This Row],['# of Permanent House Built]]+Data_Shelter_t[[#This Row],['# of Individual House Built]]</f>
        <v>480</v>
      </c>
      <c r="AA11" s="796"/>
    </row>
    <row r="12" spans="1:54" s="5" customFormat="1" ht="23.25" customHeight="1" x14ac:dyDescent="0.25">
      <c r="A12" s="795">
        <v>42947</v>
      </c>
      <c r="B12" s="294" t="s">
        <v>1072</v>
      </c>
      <c r="C12" s="294" t="s">
        <v>1072</v>
      </c>
      <c r="D12" s="294" t="s">
        <v>7</v>
      </c>
      <c r="E12" s="306" t="s">
        <v>13</v>
      </c>
      <c r="F12" s="19" t="s">
        <v>40</v>
      </c>
      <c r="G12" s="19">
        <v>1</v>
      </c>
      <c r="H12" s="19"/>
      <c r="I12" s="19"/>
      <c r="J12" s="19"/>
      <c r="K12" s="19"/>
      <c r="L12" s="19"/>
      <c r="M12" s="19"/>
      <c r="N12" s="19"/>
      <c r="O12" s="19"/>
      <c r="P12" s="418"/>
      <c r="Q12" s="384">
        <v>56</v>
      </c>
      <c r="R12" s="775">
        <v>56</v>
      </c>
      <c r="S12" s="384"/>
      <c r="T12" s="384">
        <v>56</v>
      </c>
      <c r="U12" s="384">
        <f ca="1">IF(Data_Shelter_t[[#This Row],[Status]]="Open",Data_Shelter_t[[#This Row],[HH Covered]],0)</f>
        <v>56</v>
      </c>
      <c r="V12" s="384" t="s">
        <v>126</v>
      </c>
      <c r="W12" s="385" t="str">
        <f ca="1">IFERROR(OFFSET(Camp_List[Status],MATCH(Data_Shelter_t[[#This Row],[Camp Name/ Relocation Sites]],Camp_List[Camp Name],0)-1,0,1,1),"")</f>
        <v>Open</v>
      </c>
      <c r="X12" s="386">
        <f ca="1">IFERROR(Data_Shelter_t[[#This Row],[HH Covered]]/OFFSET(Camp_List[HH],MATCH(Data_Shelter_t[[#This Row],[Camp Name/ Relocation Sites]],Camp_List[Camp Name],0)-1,0,1,1),"")</f>
        <v>4.169769173492182E-2</v>
      </c>
      <c r="Y12" s="384">
        <f>Data_Shelter_t[[#This Row],['# of Permanent House Planned (Target)]]+Data_Shelter_t[[#This Row],['# of Individual House Planned (Target)]]</f>
        <v>56</v>
      </c>
      <c r="Z12" s="384">
        <f>Data_Shelter_t[[#This Row],['# of Permanent House Built]]+Data_Shelter_t[[#This Row],['# of Individual House Built]]</f>
        <v>56</v>
      </c>
      <c r="AA12" s="796"/>
    </row>
    <row r="13" spans="1:54" s="5" customFormat="1" ht="23.25" customHeight="1" x14ac:dyDescent="0.25">
      <c r="A13" s="776">
        <v>42947</v>
      </c>
      <c r="B13" s="293" t="s">
        <v>278</v>
      </c>
      <c r="C13" s="293" t="s">
        <v>278</v>
      </c>
      <c r="D13" s="293" t="s">
        <v>7</v>
      </c>
      <c r="E13" s="295" t="s">
        <v>17</v>
      </c>
      <c r="F13" s="293" t="s">
        <v>59</v>
      </c>
      <c r="G13" s="646">
        <v>8</v>
      </c>
      <c r="H13" s="293"/>
      <c r="I13" s="293"/>
      <c r="J13" s="646">
        <v>52</v>
      </c>
      <c r="K13" s="646">
        <v>52</v>
      </c>
      <c r="L13" s="646"/>
      <c r="M13" s="646"/>
      <c r="N13" s="646"/>
      <c r="O13" s="293"/>
      <c r="P13" s="208"/>
      <c r="Q13" s="293"/>
      <c r="R13" s="293"/>
      <c r="S13" s="88"/>
      <c r="T13" s="88">
        <f>52*8</f>
        <v>416</v>
      </c>
      <c r="U13" s="88">
        <f ca="1">IF(Data_Shelter_t[[#This Row],[Status]]="Open",Data_Shelter_t[[#This Row],[HH Covered]],0)</f>
        <v>416</v>
      </c>
      <c r="V13" s="294" t="s">
        <v>145</v>
      </c>
      <c r="W13" s="406" t="str">
        <f ca="1">IFERROR(OFFSET(Camp_List[Status],MATCH(Data_Shelter_t[[#This Row],[Camp Name/ Relocation Sites]],Camp_List[Camp Name],0)-1,0,1,1),"")</f>
        <v>Open</v>
      </c>
      <c r="X13" s="386">
        <f ca="1">IFERROR(Data_Shelter_t[[#This Row],[HH Covered]]/OFFSET(Camp_List[HH],MATCH(Data_Shelter_t[[#This Row],[Camp Name/ Relocation Sites]],Camp_List[Camp Name],0)-1,0,1,1),"")</f>
        <v>1.0505050505050506</v>
      </c>
      <c r="Y13" s="646">
        <f>Data_Shelter_t[[#This Row],['# of Permanent House Planned (Target)]]+Data_Shelter_t[[#This Row],['# of Individual House Planned (Target)]]</f>
        <v>0</v>
      </c>
      <c r="Z13" s="646">
        <f>Data_Shelter_t[[#This Row],['# of Permanent House Built]]+Data_Shelter_t[[#This Row],['# of Individual House Built]]</f>
        <v>0</v>
      </c>
      <c r="AA13" s="38"/>
    </row>
    <row r="14" spans="1:54" s="5" customFormat="1" ht="23.25" customHeight="1" x14ac:dyDescent="0.25">
      <c r="A14" s="401">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06" t="str">
        <f ca="1">IFERROR(OFFSET(Camp_List[Status],MATCH(Data_Shelter_t[[#This Row],[Camp Name/ Relocation Sites]],Camp_List[Camp Name],0)-1,0,1,1),"")</f>
        <v>Open</v>
      </c>
      <c r="X14" s="386">
        <f ca="1">IFERROR(Data_Shelter_t[[#This Row],[HH Covered]]/OFFSET(Camp_List[HH],MATCH(Data_Shelter_t[[#This Row],[Camp Name/ Relocation Sites]],Camp_List[Camp Name],0)-1,0,1,1),"")</f>
        <v>0.42409638554216866</v>
      </c>
      <c r="Y14" s="646">
        <f>Data_Shelter_t[[#This Row],['# of Permanent House Planned (Target)]]+Data_Shelter_t[[#This Row],['# of Individual House Planned (Target)]]</f>
        <v>0</v>
      </c>
      <c r="Z14" s="646">
        <f>Data_Shelter_t[[#This Row],['# of Permanent House Built]]+Data_Shelter_t[[#This Row],['# of Individual House Built]]</f>
        <v>0</v>
      </c>
      <c r="AA14" s="774" t="s">
        <v>1073</v>
      </c>
    </row>
    <row r="15" spans="1:54" s="5" customFormat="1" ht="23.25" customHeight="1" x14ac:dyDescent="0.25">
      <c r="A15" s="401">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06" t="str">
        <f ca="1">IFERROR(OFFSET(Camp_List[Status],MATCH(Data_Shelter_t[[#This Row],[Camp Name/ Relocation Sites]],Camp_List[Camp Name],0)-1,0,1,1),"")</f>
        <v>Open</v>
      </c>
      <c r="X15" s="386">
        <f ca="1">IFERROR(Data_Shelter_t[[#This Row],[HH Covered]]/OFFSET(Camp_List[HH],MATCH(Data_Shelter_t[[#This Row],[Camp Name/ Relocation Sites]],Camp_List[Camp Name],0)-1,0,1,1),"")</f>
        <v>0.59759036144578315</v>
      </c>
      <c r="Y15" s="646">
        <f>Data_Shelter_t[[#This Row],['# of Permanent House Planned (Target)]]+Data_Shelter_t[[#This Row],['# of Individual House Planned (Target)]]</f>
        <v>0</v>
      </c>
      <c r="Z15" s="646">
        <f>Data_Shelter_t[[#This Row],['# of Permanent House Built]]+Data_Shelter_t[[#This Row],['# of Individual House Built]]</f>
        <v>0</v>
      </c>
      <c r="AA15" s="38"/>
    </row>
    <row r="16" spans="1:54" ht="23.25" customHeight="1" x14ac:dyDescent="0.25">
      <c r="A16" s="401">
        <v>42947</v>
      </c>
      <c r="B16" s="293" t="s">
        <v>278</v>
      </c>
      <c r="C16" s="293" t="s">
        <v>278</v>
      </c>
      <c r="D16" s="293" t="s">
        <v>7</v>
      </c>
      <c r="E16" s="295" t="s">
        <v>14</v>
      </c>
      <c r="F16" s="293" t="s">
        <v>45</v>
      </c>
      <c r="G16" s="646">
        <v>8</v>
      </c>
      <c r="H16" s="293"/>
      <c r="I16" s="293"/>
      <c r="J16" s="646">
        <v>9</v>
      </c>
      <c r="K16" s="646">
        <v>9</v>
      </c>
      <c r="L16" s="646"/>
      <c r="M16" s="646"/>
      <c r="N16" s="646"/>
      <c r="O16" s="293"/>
      <c r="P16" s="208"/>
      <c r="Q16" s="293"/>
      <c r="R16" s="293"/>
      <c r="S16" s="88"/>
      <c r="T16" s="88">
        <v>72</v>
      </c>
      <c r="U16" s="88">
        <f ca="1">IF(Data_Shelter_t[[#This Row],[Status]]="Open",Data_Shelter_t[[#This Row],[HH Covered]],0)</f>
        <v>72</v>
      </c>
      <c r="V16" s="294" t="s">
        <v>131</v>
      </c>
      <c r="W16" s="406" t="str">
        <f ca="1">IFERROR(OFFSET(Camp_List[Status],MATCH(Data_Shelter_t[[#This Row],[Camp Name/ Relocation Sites]],Camp_List[Camp Name],0)-1,0,1,1),"")</f>
        <v>Open</v>
      </c>
      <c r="X16" s="386">
        <f ca="1">IFERROR(Data_Shelter_t[[#This Row],[HH Covered]]/OFFSET(Camp_List[HH],MATCH(Data_Shelter_t[[#This Row],[Camp Name/ Relocation Sites]],Camp_List[Camp Name],0)-1,0,1,1),"")</f>
        <v>0.84705882352941175</v>
      </c>
      <c r="Y16" s="646">
        <f>Data_Shelter_t[[#This Row],['# of Permanent House Planned (Target)]]+Data_Shelter_t[[#This Row],['# of Individual House Planned (Target)]]</f>
        <v>0</v>
      </c>
      <c r="Z16" s="646">
        <f>Data_Shelter_t[[#This Row],['# of Permanent House Built]]+Data_Shelter_t[[#This Row],['# of Individual House Built]]</f>
        <v>0</v>
      </c>
      <c r="AU16" s="5"/>
    </row>
    <row r="17" spans="1:47" ht="23.25" customHeight="1" x14ac:dyDescent="0.25">
      <c r="A17" s="401">
        <v>42947</v>
      </c>
      <c r="B17" s="293" t="s">
        <v>1056</v>
      </c>
      <c r="C17" s="293" t="s">
        <v>1056</v>
      </c>
      <c r="D17" s="293" t="s">
        <v>7</v>
      </c>
      <c r="E17" s="295" t="s">
        <v>561</v>
      </c>
      <c r="F17" s="293" t="s">
        <v>441</v>
      </c>
      <c r="G17" s="26">
        <v>1</v>
      </c>
      <c r="H17" s="293"/>
      <c r="I17" s="293"/>
      <c r="J17" s="646"/>
      <c r="K17" s="26"/>
      <c r="L17" s="646"/>
      <c r="M17" s="26"/>
      <c r="N17" s="26"/>
      <c r="O17" s="293"/>
      <c r="P17" s="293"/>
      <c r="Q17" s="168">
        <v>65</v>
      </c>
      <c r="R17" s="410">
        <v>65</v>
      </c>
      <c r="S17" s="88"/>
      <c r="T17" s="88">
        <v>65</v>
      </c>
      <c r="U17" s="88">
        <f ca="1">IF(Data_Shelter_t[[#This Row],[Status]]="Open",Data_Shelter_t[[#This Row],[HH Covered]],0)</f>
        <v>0</v>
      </c>
      <c r="V17" s="294" t="s">
        <v>142</v>
      </c>
      <c r="W17" s="406" t="str">
        <f ca="1">IFERROR(OFFSET(Camp_List[Status],MATCH(Data_Shelter_t[[#This Row],[Camp Name/ Relocation Sites]],Camp_List[Camp Name],0)-1,0,1,1),"")</f>
        <v>Relocated</v>
      </c>
      <c r="X17" s="386">
        <f ca="1">IFERROR(Data_Shelter_t[[#This Row],[HH Covered]]/OFFSET(Camp_List[HH],MATCH(Data_Shelter_t[[#This Row],[Camp Name/ Relocation Sites]],Camp_List[Camp Name],0)-1,0,1,1),"")</f>
        <v>1</v>
      </c>
      <c r="Y17" s="646">
        <f>Data_Shelter_t[[#This Row],['# of Permanent House Planned (Target)]]+Data_Shelter_t[[#This Row],['# of Individual House Planned (Target)]]</f>
        <v>65</v>
      </c>
      <c r="Z17" s="646">
        <f>Data_Shelter_t[[#This Row],['# of Permanent House Built]]+Data_Shelter_t[[#This Row],['# of Individual House Built]]</f>
        <v>65</v>
      </c>
      <c r="AU17" s="5"/>
    </row>
    <row r="18" spans="1:47" ht="23.25" customHeight="1" x14ac:dyDescent="0.25">
      <c r="A18" s="401">
        <v>42916</v>
      </c>
      <c r="B18" s="293" t="s">
        <v>270</v>
      </c>
      <c r="C18" s="293" t="s">
        <v>270</v>
      </c>
      <c r="D18" s="293" t="s">
        <v>7</v>
      </c>
      <c r="E18" s="295" t="s">
        <v>17</v>
      </c>
      <c r="F18" s="293" t="s">
        <v>585</v>
      </c>
      <c r="G18" s="646">
        <v>8</v>
      </c>
      <c r="H18" s="293"/>
      <c r="I18" s="293"/>
      <c r="J18" s="646">
        <v>80</v>
      </c>
      <c r="K18" s="646">
        <v>80</v>
      </c>
      <c r="L18" s="646"/>
      <c r="M18" s="646"/>
      <c r="N18" s="646"/>
      <c r="O18" s="293"/>
      <c r="P18" s="208"/>
      <c r="Q18" s="293"/>
      <c r="R18" s="293"/>
      <c r="S18" s="88"/>
      <c r="T18" s="88">
        <v>640</v>
      </c>
      <c r="U18" s="88">
        <f ca="1">IF(Data_Shelter_t[[#This Row],[Status]]="Open",Data_Shelter_t[[#This Row],[HH Covered]],0)</f>
        <v>640</v>
      </c>
      <c r="V18" s="294" t="s">
        <v>502</v>
      </c>
      <c r="W18" s="406" t="str">
        <f ca="1">IFERROR(OFFSET(Camp_List[Status],MATCH(Data_Shelter_t[[#This Row],[Camp Name/ Relocation Sites]],Camp_List[Camp Name],0)-1,0,1,1),"")</f>
        <v>Open</v>
      </c>
      <c r="X18" s="386">
        <f ca="1">IFERROR(Data_Shelter_t[[#This Row],[HH Covered]]/OFFSET(Camp_List[HH],MATCH(Data_Shelter_t[[#This Row],[Camp Name/ Relocation Sites]],Camp_List[Camp Name],0)-1,0,1,1),"")</f>
        <v>0.87193460490463215</v>
      </c>
      <c r="Y18" s="646">
        <f>Data_Shelter_t[[#This Row],['# of Permanent House Planned (Target)]]+Data_Shelter_t[[#This Row],['# of Individual House Planned (Target)]]</f>
        <v>0</v>
      </c>
      <c r="Z18" s="646">
        <f>Data_Shelter_t[[#This Row],['# of Permanent House Built]]+Data_Shelter_t[[#This Row],['# of Individual House Built]]</f>
        <v>0</v>
      </c>
      <c r="AU18" s="5"/>
    </row>
    <row r="19" spans="1:47" s="78" customFormat="1" ht="23.25" customHeight="1" x14ac:dyDescent="0.25">
      <c r="A19" s="401">
        <v>42186</v>
      </c>
      <c r="B19" s="293" t="s">
        <v>278</v>
      </c>
      <c r="C19" s="293" t="s">
        <v>278</v>
      </c>
      <c r="D19" s="293" t="s">
        <v>7</v>
      </c>
      <c r="E19" s="295" t="s">
        <v>14</v>
      </c>
      <c r="F19" s="19" t="s">
        <v>52</v>
      </c>
      <c r="G19" s="19">
        <v>1</v>
      </c>
      <c r="H19" s="19"/>
      <c r="I19" s="19"/>
      <c r="J19" s="19"/>
      <c r="K19" s="19"/>
      <c r="L19" s="19"/>
      <c r="M19" s="19"/>
      <c r="N19" s="19"/>
      <c r="O19" s="19"/>
      <c r="P19" s="418"/>
      <c r="Q19" s="754">
        <v>97</v>
      </c>
      <c r="R19" s="775">
        <v>97</v>
      </c>
      <c r="S19" s="384"/>
      <c r="T19" s="384">
        <v>97</v>
      </c>
      <c r="U19" s="384">
        <f ca="1">IF(Data_Shelter_t[[#This Row],[Status]]="Open",Data_Shelter_t[[#This Row],[HH Covered]],0)</f>
        <v>0</v>
      </c>
      <c r="V19" s="384" t="s">
        <v>138</v>
      </c>
      <c r="W19" s="385" t="str">
        <f ca="1">IFERROR(OFFSET(Camp_List[Status],MATCH(Data_Shelter_t[[#This Row],[Camp Name/ Relocation Sites]],Camp_List[Camp Name],0)-1,0,1,1),"")</f>
        <v>Relocated</v>
      </c>
      <c r="X19" s="386">
        <f ca="1">IFERROR(Data_Shelter_t[[#This Row],[HH Covered]]/OFFSET(Camp_List[HH],MATCH(Data_Shelter_t[[#This Row],[Camp Name/ Relocation Sites]],Camp_List[Camp Name],0)-1,0,1,1),"")</f>
        <v>1</v>
      </c>
      <c r="Y19" s="384">
        <f>Data_Shelter_t[[#This Row],['# of Permanent House Planned (Target)]]+Data_Shelter_t[[#This Row],['# of Individual House Planned (Target)]]</f>
        <v>97</v>
      </c>
      <c r="Z19" s="384">
        <f>Data_Shelter_t[[#This Row],['# of Permanent House Built]]+Data_Shelter_t[[#This Row],['# of Individual House Built]]</f>
        <v>97</v>
      </c>
      <c r="AA19" s="765"/>
      <c r="AU19" s="5"/>
    </row>
    <row r="20" spans="1:47" ht="23.25" customHeight="1" x14ac:dyDescent="0.25">
      <c r="A20" s="401">
        <v>42186</v>
      </c>
      <c r="B20" s="293" t="s">
        <v>278</v>
      </c>
      <c r="C20" s="293" t="s">
        <v>278</v>
      </c>
      <c r="D20" s="293" t="s">
        <v>7</v>
      </c>
      <c r="E20" s="295" t="s">
        <v>11</v>
      </c>
      <c r="F20" s="293" t="s">
        <v>857</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4" t="s">
        <v>861</v>
      </c>
      <c r="W20" s="385" t="str">
        <f ca="1">IFERROR(OFFSET(Camp_List[Status],MATCH(Data_Shelter_t[[#This Row],[Camp Name/ Relocation Sites]],Camp_List[Camp Name],0)-1,0,1,1),"")</f>
        <v/>
      </c>
      <c r="X20" s="386"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401">
        <v>42186</v>
      </c>
      <c r="B21" s="293" t="s">
        <v>1074</v>
      </c>
      <c r="C21" s="293" t="s">
        <v>1074</v>
      </c>
      <c r="D21" s="293" t="s">
        <v>7</v>
      </c>
      <c r="E21" s="295" t="s">
        <v>932</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4" t="s">
        <v>120</v>
      </c>
      <c r="W21" s="385" t="str">
        <f ca="1">IFERROR(OFFSET(Camp_List[Status],MATCH(Data_Shelter_t[[#This Row],[Camp Name/ Relocation Sites]],Camp_List[Camp Name],0)-1,0,1,1),"")</f>
        <v>Relocated</v>
      </c>
      <c r="X21" s="386">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401">
        <v>42186</v>
      </c>
      <c r="B22" s="293" t="s">
        <v>278</v>
      </c>
      <c r="C22" s="293" t="s">
        <v>278</v>
      </c>
      <c r="D22" s="293" t="s">
        <v>7</v>
      </c>
      <c r="E22" s="295" t="s">
        <v>932</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4" t="s">
        <v>579</v>
      </c>
      <c r="W22" s="385" t="str">
        <f ca="1">IFERROR(OFFSET(Camp_List[Status],MATCH(Data_Shelter_t[[#This Row],[Camp Name/ Relocation Sites]],Camp_List[Camp Name],0)-1,0,1,1),"")</f>
        <v>Relocated</v>
      </c>
      <c r="X22" s="386">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401">
        <v>42186</v>
      </c>
      <c r="B23" s="293" t="s">
        <v>278</v>
      </c>
      <c r="C23" s="293" t="s">
        <v>278</v>
      </c>
      <c r="D23" s="293" t="s">
        <v>7</v>
      </c>
      <c r="E23" s="295" t="s">
        <v>814</v>
      </c>
      <c r="F23" s="293" t="s">
        <v>35</v>
      </c>
      <c r="G23" s="646">
        <v>1</v>
      </c>
      <c r="H23" s="293"/>
      <c r="I23" s="293"/>
      <c r="J23" s="646"/>
      <c r="K23" s="646"/>
      <c r="L23" s="646"/>
      <c r="M23" s="646"/>
      <c r="N23" s="646"/>
      <c r="O23" s="293"/>
      <c r="P23" s="208"/>
      <c r="Q23" s="88">
        <v>40</v>
      </c>
      <c r="R23" s="208">
        <v>40</v>
      </c>
      <c r="S23" s="88"/>
      <c r="T23" s="88">
        <v>40</v>
      </c>
      <c r="U23" s="88">
        <f ca="1">IF(Data_Shelter_t[[#This Row],[Status]]="Open",Data_Shelter_t[[#This Row],[HH Covered]],0)</f>
        <v>0</v>
      </c>
      <c r="V23" s="384" t="s">
        <v>121</v>
      </c>
      <c r="W23" s="385" t="str">
        <f ca="1">IFERROR(OFFSET(Camp_List[Status],MATCH(Data_Shelter_t[[#This Row],[Camp Name/ Relocation Sites]],Camp_List[Camp Name],0)-1,0,1,1),"")</f>
        <v>Relocated</v>
      </c>
      <c r="X23" s="386">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401">
        <v>42186</v>
      </c>
      <c r="B24" s="293" t="s">
        <v>270</v>
      </c>
      <c r="C24" s="293" t="s">
        <v>270</v>
      </c>
      <c r="D24" s="293" t="s">
        <v>7</v>
      </c>
      <c r="E24" s="295" t="s">
        <v>17</v>
      </c>
      <c r="F24" s="293" t="s">
        <v>590</v>
      </c>
      <c r="G24" s="26">
        <v>1</v>
      </c>
      <c r="H24" s="293"/>
      <c r="I24" s="293"/>
      <c r="J24" s="646"/>
      <c r="K24" s="26"/>
      <c r="L24" s="26"/>
      <c r="M24" s="26"/>
      <c r="N24" s="26"/>
      <c r="O24" s="293"/>
      <c r="P24" s="208"/>
      <c r="Q24" s="208">
        <v>72</v>
      </c>
      <c r="R24" s="208">
        <v>72</v>
      </c>
      <c r="S24" s="208"/>
      <c r="T24" s="88">
        <v>72</v>
      </c>
      <c r="U24" s="88">
        <f ca="1">IF(Data_Shelter_t[[#This Row],[Status]]="Open",Data_Shelter_t[[#This Row],[HH Covered]],0)</f>
        <v>0</v>
      </c>
      <c r="V24" s="384" t="s">
        <v>162</v>
      </c>
      <c r="W24" s="385" t="str">
        <f ca="1">IFERROR(OFFSET(Camp_List[Status],MATCH(Data_Shelter_t[[#This Row],[Camp Name/ Relocation Sites]],Camp_List[Camp Name],0)-1,0,1,1),"")</f>
        <v>Relocated</v>
      </c>
      <c r="X24" s="386">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401">
        <v>42186</v>
      </c>
      <c r="B25" s="293" t="s">
        <v>278</v>
      </c>
      <c r="C25" s="293" t="s">
        <v>278</v>
      </c>
      <c r="D25" s="293" t="s">
        <v>7</v>
      </c>
      <c r="E25" s="295" t="s">
        <v>14</v>
      </c>
      <c r="F25" s="293" t="s">
        <v>44</v>
      </c>
      <c r="G25" s="646">
        <v>1</v>
      </c>
      <c r="H25" s="293"/>
      <c r="I25" s="293"/>
      <c r="J25" s="646"/>
      <c r="K25" s="646"/>
      <c r="L25" s="646"/>
      <c r="M25" s="646"/>
      <c r="N25" s="646"/>
      <c r="O25" s="293"/>
      <c r="P25" s="208"/>
      <c r="Q25" s="88">
        <v>24</v>
      </c>
      <c r="R25" s="410">
        <v>24</v>
      </c>
      <c r="S25" s="88"/>
      <c r="T25" s="88">
        <v>24</v>
      </c>
      <c r="U25" s="88">
        <f ca="1">IF(Data_Shelter_t[[#This Row],[Status]]="Open",Data_Shelter_t[[#This Row],[HH Covered]],0)</f>
        <v>0</v>
      </c>
      <c r="V25" s="384" t="s">
        <v>130</v>
      </c>
      <c r="W25" s="385" t="str">
        <f ca="1">IFERROR(OFFSET(Camp_List[Status],MATCH(Data_Shelter_t[[#This Row],[Camp Name/ Relocation Sites]],Camp_List[Camp Name],0)-1,0,1,1),"")</f>
        <v>Returned</v>
      </c>
      <c r="X25" s="386">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46">
        <f>Data_Shelter_t[[#This Row],['# of Permanent House Built]]+Data_Shelter_t[[#This Row],['# of Individual House Built]]</f>
        <v>24</v>
      </c>
      <c r="AU25" s="5"/>
    </row>
    <row r="26" spans="1:47" s="78" customFormat="1" ht="23.25" customHeight="1" x14ac:dyDescent="0.25">
      <c r="A26" s="401">
        <v>42186</v>
      </c>
      <c r="B26" s="293" t="s">
        <v>278</v>
      </c>
      <c r="C26" s="293" t="s">
        <v>278</v>
      </c>
      <c r="D26" s="293" t="s">
        <v>7</v>
      </c>
      <c r="E26" s="295" t="s">
        <v>14</v>
      </c>
      <c r="F26" s="293" t="s">
        <v>47</v>
      </c>
      <c r="G26" s="26">
        <v>1</v>
      </c>
      <c r="H26" s="293"/>
      <c r="I26" s="293"/>
      <c r="J26" s="26"/>
      <c r="K26" s="26"/>
      <c r="L26" s="26"/>
      <c r="M26" s="26"/>
      <c r="N26" s="26"/>
      <c r="O26" s="293"/>
      <c r="P26" s="208"/>
      <c r="Q26" s="88">
        <v>14</v>
      </c>
      <c r="R26" s="410">
        <v>14</v>
      </c>
      <c r="S26" s="88"/>
      <c r="T26" s="88">
        <v>14</v>
      </c>
      <c r="U26" s="88">
        <f ca="1">IF(Data_Shelter_t[[#This Row],[Status]]="Open",Data_Shelter_t[[#This Row],[HH Covered]],0)</f>
        <v>0</v>
      </c>
      <c r="V26" s="384" t="s">
        <v>133</v>
      </c>
      <c r="W26" s="385" t="str">
        <f ca="1">IFERROR(OFFSET(Camp_List[Status],MATCH(Data_Shelter_t[[#This Row],[Camp Name/ Relocation Sites]],Camp_List[Camp Name],0)-1,0,1,1),"")</f>
        <v>Returned</v>
      </c>
      <c r="X26" s="386">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46">
        <f>Data_Shelter_t[[#This Row],['# of Permanent House Built]]+Data_Shelter_t[[#This Row],['# of Individual House Built]]</f>
        <v>14</v>
      </c>
      <c r="AA26" s="38"/>
      <c r="AU26" s="5"/>
    </row>
    <row r="27" spans="1:47" s="78" customFormat="1" ht="23.25" customHeight="1" x14ac:dyDescent="0.25">
      <c r="A27" s="401">
        <v>42186</v>
      </c>
      <c r="B27" s="293" t="s">
        <v>278</v>
      </c>
      <c r="C27" s="293" t="s">
        <v>278</v>
      </c>
      <c r="D27" s="293" t="s">
        <v>7</v>
      </c>
      <c r="E27" s="295" t="s">
        <v>14</v>
      </c>
      <c r="F27" s="293" t="s">
        <v>46</v>
      </c>
      <c r="G27" s="26">
        <v>1</v>
      </c>
      <c r="H27" s="293"/>
      <c r="I27" s="293"/>
      <c r="J27" s="26"/>
      <c r="K27" s="26"/>
      <c r="L27" s="646"/>
      <c r="M27" s="26"/>
      <c r="N27" s="26"/>
      <c r="O27" s="293"/>
      <c r="P27" s="208"/>
      <c r="Q27" s="88">
        <v>100</v>
      </c>
      <c r="R27" s="410">
        <v>100</v>
      </c>
      <c r="S27" s="88"/>
      <c r="T27" s="88">
        <v>100</v>
      </c>
      <c r="U27" s="88">
        <f ca="1">IF(Data_Shelter_t[[#This Row],[Status]]="Open",Data_Shelter_t[[#This Row],[HH Covered]],0)</f>
        <v>0</v>
      </c>
      <c r="V27" s="384" t="s">
        <v>132</v>
      </c>
      <c r="W27" s="385" t="str">
        <f ca="1">IFERROR(OFFSET(Camp_List[Status],MATCH(Data_Shelter_t[[#This Row],[Camp Name/ Relocation Sites]],Camp_List[Camp Name],0)-1,0,1,1),"")</f>
        <v>Returned</v>
      </c>
      <c r="X27" s="386">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46">
        <f>Data_Shelter_t[[#This Row],['# of Permanent House Built]]+Data_Shelter_t[[#This Row],['# of Individual House Built]]</f>
        <v>100</v>
      </c>
      <c r="AA27" s="38"/>
      <c r="AU27" s="5"/>
    </row>
    <row r="28" spans="1:47" ht="23.25" customHeight="1" x14ac:dyDescent="0.25">
      <c r="A28" s="943">
        <v>42186</v>
      </c>
      <c r="B28" s="293" t="s">
        <v>278</v>
      </c>
      <c r="C28" s="293" t="s">
        <v>278</v>
      </c>
      <c r="D28" s="293" t="s">
        <v>7</v>
      </c>
      <c r="E28" s="295" t="s">
        <v>14</v>
      </c>
      <c r="F28" s="293" t="s">
        <v>42</v>
      </c>
      <c r="G28" s="646">
        <v>1</v>
      </c>
      <c r="H28" s="293"/>
      <c r="I28" s="293"/>
      <c r="J28" s="646"/>
      <c r="K28" s="646"/>
      <c r="L28" s="646"/>
      <c r="M28" s="646"/>
      <c r="N28" s="646"/>
      <c r="O28" s="293"/>
      <c r="P28" s="208"/>
      <c r="Q28" s="88">
        <v>18</v>
      </c>
      <c r="R28" s="410">
        <v>18</v>
      </c>
      <c r="S28" s="88"/>
      <c r="T28" s="88">
        <v>18</v>
      </c>
      <c r="U28" s="88">
        <f ca="1">IF(Data_Shelter_t[[#This Row],[Status]]="Open",Data_Shelter_t[[#This Row],[HH Covered]],0)</f>
        <v>0</v>
      </c>
      <c r="V28" s="384" t="s">
        <v>128</v>
      </c>
      <c r="W28" s="385" t="str">
        <f ca="1">IFERROR(OFFSET(Camp_List[Status],MATCH(Data_Shelter_t[[#This Row],[Camp Name/ Relocation Sites]],Camp_List[Camp Name],0)-1,0,1,1),"")</f>
        <v>Returned</v>
      </c>
      <c r="X28" s="386">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46">
        <f>Data_Shelter_t[[#This Row],['# of Permanent House Built]]+Data_Shelter_t[[#This Row],['# of Individual House Built]]</f>
        <v>18</v>
      </c>
      <c r="AU28" s="5"/>
    </row>
    <row r="29" spans="1:47" s="78" customFormat="1" ht="23.25" customHeight="1" x14ac:dyDescent="0.25">
      <c r="A29" s="401">
        <v>42186</v>
      </c>
      <c r="B29" s="293" t="s">
        <v>278</v>
      </c>
      <c r="C29" s="293" t="s">
        <v>278</v>
      </c>
      <c r="D29" s="293" t="s">
        <v>7</v>
      </c>
      <c r="E29" s="295" t="s">
        <v>14</v>
      </c>
      <c r="F29" s="293" t="s">
        <v>43</v>
      </c>
      <c r="G29" s="26">
        <v>1</v>
      </c>
      <c r="H29" s="293"/>
      <c r="I29" s="293"/>
      <c r="J29" s="646"/>
      <c r="K29" s="26"/>
      <c r="L29" s="26"/>
      <c r="M29" s="26"/>
      <c r="N29" s="26"/>
      <c r="O29" s="293"/>
      <c r="P29" s="208"/>
      <c r="Q29" s="88">
        <v>63</v>
      </c>
      <c r="R29" s="410">
        <v>63</v>
      </c>
      <c r="S29" s="88"/>
      <c r="T29" s="88">
        <v>63</v>
      </c>
      <c r="U29" s="88">
        <f ca="1">IF(Data_Shelter_t[[#This Row],[Status]]="Open",Data_Shelter_t[[#This Row],[HH Covered]],0)</f>
        <v>0</v>
      </c>
      <c r="V29" s="384" t="s">
        <v>129</v>
      </c>
      <c r="W29" s="385" t="str">
        <f ca="1">IFERROR(OFFSET(Camp_List[Status],MATCH(Data_Shelter_t[[#This Row],[Camp Name/ Relocation Sites]],Camp_List[Camp Name],0)-1,0,1,1),"")</f>
        <v>Returned</v>
      </c>
      <c r="X29" s="386">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46">
        <f>Data_Shelter_t[[#This Row],['# of Permanent House Built]]+Data_Shelter_t[[#This Row],['# of Individual House Built]]</f>
        <v>63</v>
      </c>
      <c r="AA29" s="38"/>
      <c r="AU29" s="5"/>
    </row>
    <row r="30" spans="1:47" ht="23.25" customHeight="1" x14ac:dyDescent="0.25">
      <c r="A30" s="401">
        <v>42186</v>
      </c>
      <c r="B30" s="293" t="s">
        <v>1056</v>
      </c>
      <c r="C30" s="293" t="s">
        <v>1056</v>
      </c>
      <c r="D30" s="293" t="s">
        <v>7</v>
      </c>
      <c r="E30" s="295" t="s">
        <v>11</v>
      </c>
      <c r="F30" s="293" t="s">
        <v>28</v>
      </c>
      <c r="G30" s="26">
        <v>1</v>
      </c>
      <c r="H30" s="293"/>
      <c r="I30" s="293"/>
      <c r="J30" s="26"/>
      <c r="K30" s="26" t="s">
        <v>722</v>
      </c>
      <c r="L30" s="646"/>
      <c r="M30" s="26"/>
      <c r="N30" s="26"/>
      <c r="O30" s="293"/>
      <c r="P30" s="208"/>
      <c r="Q30" s="88">
        <v>44</v>
      </c>
      <c r="R30" s="410">
        <v>44</v>
      </c>
      <c r="S30" s="88"/>
      <c r="T30" s="88">
        <v>44</v>
      </c>
      <c r="U30" s="88">
        <f ca="1">IF(Data_Shelter_t[[#This Row],[Status]]="Open",Data_Shelter_t[[#This Row],[HH Covered]],0)</f>
        <v>0</v>
      </c>
      <c r="V30" s="384" t="s">
        <v>114</v>
      </c>
      <c r="W30" s="385" t="str">
        <f ca="1">IFERROR(OFFSET(Camp_List[Status],MATCH(Data_Shelter_t[[#This Row],[Camp Name/ Relocation Sites]],Camp_List[Camp Name],0)-1,0,1,1),"")</f>
        <v>Returned</v>
      </c>
      <c r="X30" s="386">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401">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4" t="s">
        <v>109</v>
      </c>
      <c r="W31" s="385" t="str">
        <f ca="1">IFERROR(OFFSET(Camp_List[Status],MATCH(Data_Shelter_t[[#This Row],[Camp Name/ Relocation Sites]],Camp_List[Camp Name],0)-1,0,1,1),"")</f>
        <v>Returned</v>
      </c>
      <c r="X31" s="386">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401">
        <v>42186</v>
      </c>
      <c r="B32" s="293" t="s">
        <v>1074</v>
      </c>
      <c r="C32" s="293" t="s">
        <v>1074</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4" t="s">
        <v>116</v>
      </c>
      <c r="W32" s="385" t="str">
        <f ca="1">IFERROR(OFFSET(Camp_List[Status],MATCH(Data_Shelter_t[[#This Row],[Camp Name/ Relocation Sites]],Camp_List[Camp Name],0)-1,0,1,1),"")</f>
        <v>Returned</v>
      </c>
      <c r="X32" s="386">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401">
        <v>42186</v>
      </c>
      <c r="B33" s="293" t="s">
        <v>1074</v>
      </c>
      <c r="C33" s="293" t="s">
        <v>1074</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4" t="s">
        <v>111</v>
      </c>
      <c r="W33" s="385" t="str">
        <f ca="1">IFERROR(OFFSET(Camp_List[Status],MATCH(Data_Shelter_t[[#This Row],[Camp Name/ Relocation Sites]],Camp_List[Camp Name],0)-1,0,1,1),"")</f>
        <v>Returned</v>
      </c>
      <c r="X33" s="386">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401">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4" t="s">
        <v>514</v>
      </c>
      <c r="W34" s="385" t="str">
        <f ca="1">IFERROR(OFFSET(Camp_List[Status],MATCH(Data_Shelter_t[[#This Row],[Camp Name/ Relocation Sites]],Camp_List[Camp Name],0)-1,0,1,1),"")</f>
        <v>Returned</v>
      </c>
      <c r="X34" s="386">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401">
        <v>42186</v>
      </c>
      <c r="B35" s="293" t="s">
        <v>1074</v>
      </c>
      <c r="C35" s="293" t="s">
        <v>1074</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4" t="s">
        <v>110</v>
      </c>
      <c r="W35" s="385" t="str">
        <f ca="1">IFERROR(OFFSET(Camp_List[Status],MATCH(Data_Shelter_t[[#This Row],[Camp Name/ Relocation Sites]],Camp_List[Camp Name],0)-1,0,1,1),"")</f>
        <v>Returned</v>
      </c>
      <c r="X35" s="386">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401">
        <v>42186</v>
      </c>
      <c r="B36" s="293" t="s">
        <v>1074</v>
      </c>
      <c r="C36" s="293" t="s">
        <v>1074</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4" t="s">
        <v>113</v>
      </c>
      <c r="W36" s="385" t="str">
        <f ca="1">IFERROR(OFFSET(Camp_List[Status],MATCH(Data_Shelter_t[[#This Row],[Camp Name/ Relocation Sites]],Camp_List[Camp Name],0)-1,0,1,1),"")</f>
        <v>Returned</v>
      </c>
      <c r="X36" s="386">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401">
        <v>42186</v>
      </c>
      <c r="B37" s="293" t="s">
        <v>1074</v>
      </c>
      <c r="C37" s="293" t="s">
        <v>1074</v>
      </c>
      <c r="D37" s="293" t="s">
        <v>7</v>
      </c>
      <c r="E37" s="295" t="s">
        <v>932</v>
      </c>
      <c r="F37" s="293" t="s">
        <v>31</v>
      </c>
      <c r="G37" s="646">
        <v>1</v>
      </c>
      <c r="H37" s="293"/>
      <c r="I37" s="293"/>
      <c r="J37" s="646"/>
      <c r="K37" s="646"/>
      <c r="L37" s="646"/>
      <c r="M37" s="646"/>
      <c r="N37" s="646"/>
      <c r="O37" s="293"/>
      <c r="P37" s="208"/>
      <c r="Q37" s="88">
        <v>204</v>
      </c>
      <c r="R37" s="208">
        <v>204</v>
      </c>
      <c r="S37" s="88"/>
      <c r="T37" s="88">
        <v>204</v>
      </c>
      <c r="U37" s="88">
        <f ca="1">IF(Data_Shelter_t[[#This Row],[Status]]="Open",Data_Shelter_t[[#This Row],[HH Covered]],0)</f>
        <v>0</v>
      </c>
      <c r="V37" s="384" t="s">
        <v>117</v>
      </c>
      <c r="W37" s="385" t="str">
        <f ca="1">IFERROR(OFFSET(Camp_List[Status],MATCH(Data_Shelter_t[[#This Row],[Camp Name/ Relocation Sites]],Camp_List[Camp Name],0)-1,0,1,1),"")</f>
        <v>Returned</v>
      </c>
      <c r="X37" s="386">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401">
        <v>42186</v>
      </c>
      <c r="B38" s="293" t="s">
        <v>1074</v>
      </c>
      <c r="C38" s="293" t="s">
        <v>1074</v>
      </c>
      <c r="D38" s="293" t="s">
        <v>7</v>
      </c>
      <c r="E38" s="295" t="s">
        <v>932</v>
      </c>
      <c r="F38" s="293" t="s">
        <v>32</v>
      </c>
      <c r="G38" s="646">
        <v>1</v>
      </c>
      <c r="H38" s="293"/>
      <c r="I38" s="293"/>
      <c r="J38" s="646"/>
      <c r="K38" s="646"/>
      <c r="L38" s="646"/>
      <c r="M38" s="646"/>
      <c r="N38" s="646"/>
      <c r="O38" s="293"/>
      <c r="P38" s="208"/>
      <c r="Q38" s="88">
        <v>365</v>
      </c>
      <c r="R38" s="208">
        <v>365</v>
      </c>
      <c r="S38" s="88"/>
      <c r="T38" s="88">
        <v>365</v>
      </c>
      <c r="U38" s="88">
        <f ca="1">IF(Data_Shelter_t[[#This Row],[Status]]="Open",Data_Shelter_t[[#This Row],[HH Covered]],0)</f>
        <v>0</v>
      </c>
      <c r="V38" s="384" t="s">
        <v>118</v>
      </c>
      <c r="W38" s="385" t="str">
        <f ca="1">IFERROR(OFFSET(Camp_List[Status],MATCH(Data_Shelter_t[[#This Row],[Camp Name/ Relocation Sites]],Camp_List[Camp Name],0)-1,0,1,1),"")</f>
        <v>Returned</v>
      </c>
      <c r="X38" s="386">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401">
        <v>42186</v>
      </c>
      <c r="B39" s="293" t="s">
        <v>278</v>
      </c>
      <c r="C39" s="293" t="s">
        <v>278</v>
      </c>
      <c r="D39" s="293" t="s">
        <v>7</v>
      </c>
      <c r="E39" s="295" t="s">
        <v>15</v>
      </c>
      <c r="F39" s="293" t="s">
        <v>54</v>
      </c>
      <c r="G39" s="646">
        <v>1</v>
      </c>
      <c r="H39" s="293"/>
      <c r="I39" s="293"/>
      <c r="J39" s="646"/>
      <c r="K39" s="646"/>
      <c r="L39" s="646"/>
      <c r="M39" s="646"/>
      <c r="N39" s="646"/>
      <c r="O39" s="293"/>
      <c r="P39" s="208"/>
      <c r="Q39" s="88">
        <v>32</v>
      </c>
      <c r="R39" s="208">
        <v>32</v>
      </c>
      <c r="S39" s="88"/>
      <c r="T39" s="88">
        <v>32</v>
      </c>
      <c r="U39" s="88">
        <f ca="1">IF(Data_Shelter_t[[#This Row],[Status]]="Open",Data_Shelter_t[[#This Row],[HH Covered]],0)</f>
        <v>0</v>
      </c>
      <c r="V39" s="384" t="s">
        <v>140</v>
      </c>
      <c r="W39" s="385" t="str">
        <f ca="1">IFERROR(OFFSET(Camp_List[Status],MATCH(Data_Shelter_t[[#This Row],[Camp Name/ Relocation Sites]],Camp_List[Camp Name],0)-1,0,1,1),"")</f>
        <v>Returned</v>
      </c>
      <c r="X39" s="386">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x14ac:dyDescent="0.25">
      <c r="A40" s="401">
        <v>42186</v>
      </c>
      <c r="B40" s="293" t="s">
        <v>278</v>
      </c>
      <c r="C40" s="293" t="s">
        <v>278</v>
      </c>
      <c r="D40" s="293" t="s">
        <v>7</v>
      </c>
      <c r="E40" s="295" t="s">
        <v>15</v>
      </c>
      <c r="F40" s="293" t="s">
        <v>53</v>
      </c>
      <c r="G40" s="646">
        <v>1</v>
      </c>
      <c r="H40" s="293"/>
      <c r="I40" s="293"/>
      <c r="J40" s="646"/>
      <c r="K40" s="646"/>
      <c r="L40" s="646"/>
      <c r="M40" s="646"/>
      <c r="N40" s="646"/>
      <c r="O40" s="293"/>
      <c r="P40" s="208"/>
      <c r="Q40" s="88">
        <v>56</v>
      </c>
      <c r="R40" s="208">
        <v>56</v>
      </c>
      <c r="S40" s="88"/>
      <c r="T40" s="88">
        <v>56</v>
      </c>
      <c r="U40" s="88">
        <f ca="1">IF(Data_Shelter_t[[#This Row],[Status]]="Open",Data_Shelter_t[[#This Row],[HH Covered]],0)</f>
        <v>0</v>
      </c>
      <c r="V40" s="384" t="s">
        <v>139</v>
      </c>
      <c r="W40" s="385" t="str">
        <f ca="1">IFERROR(OFFSET(Camp_List[Status],MATCH(Data_Shelter_t[[#This Row],[Camp Name/ Relocation Sites]],Camp_List[Camp Name],0)-1,0,1,1),"")</f>
        <v>Returned</v>
      </c>
      <c r="X40" s="386">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401">
        <v>42186</v>
      </c>
      <c r="B41" s="293" t="s">
        <v>278</v>
      </c>
      <c r="C41" s="293" t="s">
        <v>278</v>
      </c>
      <c r="D41" s="293" t="s">
        <v>7</v>
      </c>
      <c r="E41" s="295" t="s">
        <v>14</v>
      </c>
      <c r="F41" s="293" t="s">
        <v>49</v>
      </c>
      <c r="G41" s="646">
        <v>1</v>
      </c>
      <c r="H41" s="293"/>
      <c r="I41" s="293"/>
      <c r="J41" s="646"/>
      <c r="K41" s="646"/>
      <c r="L41" s="646"/>
      <c r="M41" s="646"/>
      <c r="N41" s="646"/>
      <c r="O41" s="293"/>
      <c r="P41" s="208"/>
      <c r="Q41" s="88">
        <v>116</v>
      </c>
      <c r="R41" s="410">
        <v>116</v>
      </c>
      <c r="S41" s="88"/>
      <c r="T41" s="88">
        <v>116</v>
      </c>
      <c r="U41" s="88">
        <f ca="1">IF(Data_Shelter_t[[#This Row],[Status]]="Open",Data_Shelter_t[[#This Row],[HH Covered]],0)</f>
        <v>0</v>
      </c>
      <c r="V41" s="384" t="s">
        <v>135</v>
      </c>
      <c r="W41" s="385" t="str">
        <f ca="1">IFERROR(OFFSET(Camp_List[Status],MATCH(Data_Shelter_t[[#This Row],[Camp Name/ Relocation Sites]],Camp_List[Camp Name],0)-1,0,1,1),"")</f>
        <v>Returned</v>
      </c>
      <c r="X41" s="386">
        <f ca="1">IFERROR(Data_Shelter_t[[#This Row],[HH Covered]]/OFFSET(Camp_List[HH],MATCH(Data_Shelter_t[[#This Row],[Camp Name/ Relocation Sites]],Camp_List[Camp Name],0)-1,0,1,1),"")</f>
        <v>1</v>
      </c>
      <c r="Y41" s="384">
        <f>Data_Shelter_t[[#This Row],['# of Permanent House Planned (Target)]]+Data_Shelter_t[[#This Row],['# of Individual House Planned (Target)]]</f>
        <v>116</v>
      </c>
      <c r="Z41" s="384">
        <f>Data_Shelter_t[[#This Row],['# of Permanent House Built]]+Data_Shelter_t[[#This Row],['# of Individual House Built]]</f>
        <v>116</v>
      </c>
      <c r="AA41" s="765"/>
      <c r="AU41" s="5"/>
    </row>
    <row r="42" spans="1:47" ht="23.25" customHeight="1" x14ac:dyDescent="0.25">
      <c r="A42" s="401">
        <v>42186</v>
      </c>
      <c r="B42" s="293" t="s">
        <v>278</v>
      </c>
      <c r="C42" s="293" t="s">
        <v>278</v>
      </c>
      <c r="D42" s="293" t="s">
        <v>7</v>
      </c>
      <c r="E42" s="295" t="s">
        <v>14</v>
      </c>
      <c r="F42" s="293" t="s">
        <v>48</v>
      </c>
      <c r="G42" s="26">
        <v>1</v>
      </c>
      <c r="H42" s="293"/>
      <c r="I42" s="293"/>
      <c r="J42" s="26"/>
      <c r="K42" s="26"/>
      <c r="L42" s="26"/>
      <c r="M42" s="26"/>
      <c r="N42" s="26"/>
      <c r="O42" s="293"/>
      <c r="P42" s="208"/>
      <c r="Q42" s="88">
        <v>236</v>
      </c>
      <c r="R42" s="410">
        <v>236</v>
      </c>
      <c r="S42" s="88"/>
      <c r="T42" s="88">
        <v>236</v>
      </c>
      <c r="U42" s="88">
        <f ca="1">IF(Data_Shelter_t[[#This Row],[Status]]="Open",Data_Shelter_t[[#This Row],[HH Covered]],0)</f>
        <v>0</v>
      </c>
      <c r="V42" s="384" t="s">
        <v>134</v>
      </c>
      <c r="W42" s="385" t="str">
        <f ca="1">IFERROR(OFFSET(Camp_List[Status],MATCH(Data_Shelter_t[[#This Row],[Camp Name/ Relocation Sites]],Camp_List[Camp Name],0)-1,0,1,1),"")</f>
        <v>Returned</v>
      </c>
      <c r="X42" s="386">
        <f ca="1">IFERROR(Data_Shelter_t[[#This Row],[HH Covered]]/OFFSET(Camp_List[HH],MATCH(Data_Shelter_t[[#This Row],[Camp Name/ Relocation Sites]],Camp_List[Camp Name],0)-1,0,1,1),"")</f>
        <v>1</v>
      </c>
      <c r="Y42" s="384">
        <f>Data_Shelter_t[[#This Row],['# of Permanent House Planned (Target)]]+Data_Shelter_t[[#This Row],['# of Individual House Planned (Target)]]</f>
        <v>236</v>
      </c>
      <c r="Z42" s="384">
        <f>Data_Shelter_t[[#This Row],['# of Permanent House Built]]+Data_Shelter_t[[#This Row],['# of Individual House Built]]</f>
        <v>236</v>
      </c>
      <c r="AA42" s="765"/>
      <c r="AU42" s="5"/>
    </row>
    <row r="43" spans="1:47" ht="23.25" customHeight="1" x14ac:dyDescent="0.25">
      <c r="A43" s="401">
        <v>42186</v>
      </c>
      <c r="B43" s="293" t="s">
        <v>278</v>
      </c>
      <c r="C43" s="293" t="s">
        <v>278</v>
      </c>
      <c r="D43" s="293" t="s">
        <v>7</v>
      </c>
      <c r="E43" s="295" t="s">
        <v>14</v>
      </c>
      <c r="F43" s="293" t="s">
        <v>51</v>
      </c>
      <c r="G43" s="646">
        <v>1</v>
      </c>
      <c r="H43" s="293"/>
      <c r="I43" s="293"/>
      <c r="J43" s="646"/>
      <c r="K43" s="646"/>
      <c r="L43" s="646"/>
      <c r="M43" s="646"/>
      <c r="N43" s="646"/>
      <c r="O43" s="293"/>
      <c r="P43" s="208"/>
      <c r="Q43" s="88">
        <v>144</v>
      </c>
      <c r="R43" s="208">
        <v>144</v>
      </c>
      <c r="S43" s="88"/>
      <c r="T43" s="88">
        <v>144</v>
      </c>
      <c r="U43" s="88">
        <f ca="1">IF(Data_Shelter_t[[#This Row],[Status]]="Open",Data_Shelter_t[[#This Row],[HH Covered]],0)</f>
        <v>0</v>
      </c>
      <c r="V43" s="384" t="s">
        <v>137</v>
      </c>
      <c r="W43" s="385" t="str">
        <f ca="1">IFERROR(OFFSET(Camp_List[Status],MATCH(Data_Shelter_t[[#This Row],[Camp Name/ Relocation Sites]],Camp_List[Camp Name],0)-1,0,1,1),"")</f>
        <v>Returned</v>
      </c>
      <c r="X43" s="386">
        <f ca="1">IFERROR(Data_Shelter_t[[#This Row],[HH Covered]]/OFFSET(Camp_List[HH],MATCH(Data_Shelter_t[[#This Row],[Camp Name/ Relocation Sites]],Camp_List[Camp Name],0)-1,0,1,1),"")</f>
        <v>1</v>
      </c>
      <c r="Y43" s="384">
        <f>Data_Shelter_t[[#This Row],['# of Permanent House Planned (Target)]]+Data_Shelter_t[[#This Row],['# of Individual House Planned (Target)]]</f>
        <v>144</v>
      </c>
      <c r="Z43" s="384">
        <f>Data_Shelter_t[[#This Row],['# of Permanent House Built]]+Data_Shelter_t[[#This Row],['# of Individual House Built]]</f>
        <v>144</v>
      </c>
      <c r="AA43" s="765"/>
      <c r="AU43" s="645"/>
    </row>
    <row r="44" spans="1:47" ht="23.25" customHeight="1" x14ac:dyDescent="0.25">
      <c r="A44" s="943">
        <v>42186</v>
      </c>
      <c r="B44" s="293" t="s">
        <v>278</v>
      </c>
      <c r="C44" s="293" t="s">
        <v>278</v>
      </c>
      <c r="D44" s="293" t="s">
        <v>7</v>
      </c>
      <c r="E44" s="295" t="s">
        <v>14</v>
      </c>
      <c r="F44" s="19" t="s">
        <v>50</v>
      </c>
      <c r="G44" s="19">
        <v>1</v>
      </c>
      <c r="H44" s="19"/>
      <c r="I44" s="19"/>
      <c r="J44" s="19"/>
      <c r="K44" s="19"/>
      <c r="L44" s="19"/>
      <c r="M44" s="19"/>
      <c r="N44" s="19"/>
      <c r="O44" s="19"/>
      <c r="P44" s="418"/>
      <c r="Q44" s="384">
        <v>112</v>
      </c>
      <c r="R44" s="418">
        <v>112</v>
      </c>
      <c r="S44" s="384"/>
      <c r="T44" s="384">
        <v>112</v>
      </c>
      <c r="U44" s="384">
        <f ca="1">IF(Data_Shelter_t[[#This Row],[Status]]="Open",Data_Shelter_t[[#This Row],[HH Covered]],0)</f>
        <v>0</v>
      </c>
      <c r="V44" s="384" t="s">
        <v>136</v>
      </c>
      <c r="W44" s="385" t="str">
        <f ca="1">IFERROR(OFFSET(Camp_List[Status],MATCH(Data_Shelter_t[[#This Row],[Camp Name/ Relocation Sites]],Camp_List[Camp Name],0)-1,0,1,1),"")</f>
        <v>Returned</v>
      </c>
      <c r="X44" s="386">
        <f ca="1">IFERROR(Data_Shelter_t[[#This Row],[HH Covered]]/OFFSET(Camp_List[HH],MATCH(Data_Shelter_t[[#This Row],[Camp Name/ Relocation Sites]],Camp_List[Camp Name],0)-1,0,1,1),"")</f>
        <v>1</v>
      </c>
      <c r="Y44" s="384">
        <f>Data_Shelter_t[[#This Row],['# of Permanent House Planned (Target)]]+Data_Shelter_t[[#This Row],['# of Individual House Planned (Target)]]</f>
        <v>112</v>
      </c>
      <c r="Z44" s="384">
        <f>Data_Shelter_t[[#This Row],['# of Permanent House Built]]+Data_Shelter_t[[#This Row],['# of Individual House Built]]</f>
        <v>112</v>
      </c>
      <c r="AA44" s="765"/>
      <c r="AU44" s="645"/>
    </row>
    <row r="45" spans="1:47" ht="23.25" customHeight="1" x14ac:dyDescent="0.25">
      <c r="A45" s="401">
        <v>42186</v>
      </c>
      <c r="B45" s="293" t="s">
        <v>1074</v>
      </c>
      <c r="C45" s="293" t="s">
        <v>1074</v>
      </c>
      <c r="D45" s="293" t="s">
        <v>7</v>
      </c>
      <c r="E45" s="295" t="s">
        <v>11</v>
      </c>
      <c r="F45" s="19" t="s">
        <v>28</v>
      </c>
      <c r="G45" s="19">
        <v>1</v>
      </c>
      <c r="H45" s="19"/>
      <c r="I45" s="19"/>
      <c r="J45" s="19"/>
      <c r="K45" s="19"/>
      <c r="L45" s="19"/>
      <c r="M45" s="19"/>
      <c r="N45" s="19"/>
      <c r="O45" s="19"/>
      <c r="P45" s="418"/>
      <c r="Q45" s="384">
        <v>43</v>
      </c>
      <c r="R45" s="775">
        <v>43</v>
      </c>
      <c r="S45" s="384"/>
      <c r="T45" s="384">
        <v>43</v>
      </c>
      <c r="U45" s="384">
        <f ca="1">IF(Data_Shelter_t[[#This Row],[Status]]="Open",Data_Shelter_t[[#This Row],[HH Covered]],0)</f>
        <v>0</v>
      </c>
      <c r="V45" s="384" t="s">
        <v>114</v>
      </c>
      <c r="W45" s="385" t="str">
        <f ca="1">IFERROR(OFFSET(Camp_List[Status],MATCH(Data_Shelter_t[[#This Row],[Camp Name/ Relocation Sites]],Camp_List[Camp Name],0)-1,0,1,1),"")</f>
        <v>Returned</v>
      </c>
      <c r="X45" s="386">
        <f ca="1">IFERROR(Data_Shelter_t[[#This Row],[HH Covered]]/OFFSET(Camp_List[HH],MATCH(Data_Shelter_t[[#This Row],[Camp Name/ Relocation Sites]],Camp_List[Camp Name],0)-1,0,1,1),"")</f>
        <v>0.4942528735632184</v>
      </c>
      <c r="Y45" s="384">
        <f>Data_Shelter_t[[#This Row],['# of Permanent House Planned (Target)]]+Data_Shelter_t[[#This Row],['# of Individual House Planned (Target)]]</f>
        <v>43</v>
      </c>
      <c r="Z45" s="384">
        <f>Data_Shelter_t[[#This Row],['# of Permanent House Built]]+Data_Shelter_t[[#This Row],['# of Individual House Built]]</f>
        <v>43</v>
      </c>
      <c r="AA45" s="765"/>
      <c r="AU45" s="645"/>
    </row>
    <row r="46" spans="1:47" ht="23.25" customHeight="1" x14ac:dyDescent="0.25">
      <c r="A46" s="401">
        <v>42186</v>
      </c>
      <c r="B46" s="293" t="s">
        <v>1074</v>
      </c>
      <c r="C46" s="293" t="s">
        <v>1074</v>
      </c>
      <c r="D46" s="293" t="s">
        <v>7</v>
      </c>
      <c r="E46" s="295" t="s">
        <v>11</v>
      </c>
      <c r="F46" s="19" t="s">
        <v>30</v>
      </c>
      <c r="G46" s="19">
        <v>1</v>
      </c>
      <c r="H46" s="19"/>
      <c r="I46" s="19"/>
      <c r="J46" s="19"/>
      <c r="K46" s="19"/>
      <c r="L46" s="19"/>
      <c r="M46" s="19"/>
      <c r="N46" s="19"/>
      <c r="O46" s="19"/>
      <c r="P46" s="418"/>
      <c r="Q46" s="384">
        <v>114</v>
      </c>
      <c r="R46" s="775">
        <v>114</v>
      </c>
      <c r="S46" s="384"/>
      <c r="T46" s="384">
        <v>114</v>
      </c>
      <c r="U46" s="384">
        <f ca="1">IF(Data_Shelter_t[[#This Row],[Status]]="Open",Data_Shelter_t[[#This Row],[HH Covered]],0)</f>
        <v>0</v>
      </c>
      <c r="V46" s="384" t="s">
        <v>116</v>
      </c>
      <c r="W46" s="385" t="str">
        <f ca="1">IFERROR(OFFSET(Camp_List[Status],MATCH(Data_Shelter_t[[#This Row],[Camp Name/ Relocation Sites]],Camp_List[Camp Name],0)-1,0,1,1),"")</f>
        <v>Returned</v>
      </c>
      <c r="X46" s="386">
        <f ca="1">IFERROR(Data_Shelter_t[[#This Row],[HH Covered]]/OFFSET(Camp_List[HH],MATCH(Data_Shelter_t[[#This Row],[Camp Name/ Relocation Sites]],Camp_List[Camp Name],0)-1,0,1,1),"")</f>
        <v>0.5</v>
      </c>
      <c r="Y46" s="384">
        <f>Data_Shelter_t[[#This Row],['# of Permanent House Planned (Target)]]+Data_Shelter_t[[#This Row],['# of Individual House Planned (Target)]]</f>
        <v>114</v>
      </c>
      <c r="Z46" s="384">
        <f>Data_Shelter_t[[#This Row],['# of Permanent House Built]]+Data_Shelter_t[[#This Row],['# of Individual House Built]]</f>
        <v>114</v>
      </c>
      <c r="AA46" s="765"/>
      <c r="AU46" s="645"/>
    </row>
    <row r="47" spans="1:47" ht="23.25" customHeight="1" x14ac:dyDescent="0.25">
      <c r="A47" s="401">
        <v>42030</v>
      </c>
      <c r="B47" s="293" t="s">
        <v>270</v>
      </c>
      <c r="C47" s="293" t="s">
        <v>270</v>
      </c>
      <c r="D47" s="293" t="s">
        <v>7</v>
      </c>
      <c r="E47" s="295" t="s">
        <v>13</v>
      </c>
      <c r="F47" s="19" t="s">
        <v>40</v>
      </c>
      <c r="G47" s="19">
        <v>1</v>
      </c>
      <c r="H47" s="19">
        <v>110</v>
      </c>
      <c r="I47" s="19">
        <v>110</v>
      </c>
      <c r="J47" s="19"/>
      <c r="K47" s="19"/>
      <c r="L47" s="19"/>
      <c r="M47" s="19"/>
      <c r="N47" s="19"/>
      <c r="O47" s="19"/>
      <c r="P47" s="418"/>
      <c r="Q47" s="294"/>
      <c r="R47" s="294"/>
      <c r="S47" s="384"/>
      <c r="T47" s="384">
        <v>0</v>
      </c>
      <c r="U47" s="384">
        <f ca="1">IF(Data_Shelter_t[[#This Row],[Status]]="Open",Data_Shelter_t[[#This Row],[HH Covered]],0)</f>
        <v>0</v>
      </c>
      <c r="V47" s="384"/>
      <c r="W47" s="385" t="str">
        <f ca="1">IFERROR(OFFSET(Camp_List[Status],MATCH(Data_Shelter_t[[#This Row],[Camp Name/ Relocation Sites]],Camp_List[Camp Name],0)-1,0,1,1),"")</f>
        <v>Open</v>
      </c>
      <c r="X47" s="386">
        <f ca="1">IFERROR(Data_Shelter_t[[#This Row],[HH Covered]]/OFFSET(Camp_List[HH],MATCH(Data_Shelter_t[[#This Row],[Camp Name/ Relocation Sites]],Camp_List[Camp Name],0)-1,0,1,1),"")</f>
        <v>0</v>
      </c>
      <c r="Y47" s="384">
        <f>Data_Shelter_t[[#This Row],['# of Permanent House Planned (Target)]]+Data_Shelter_t[[#This Row],['# of Individual House Planned (Target)]]</f>
        <v>0</v>
      </c>
      <c r="Z47" s="384">
        <f>Data_Shelter_t[[#This Row],['# of Permanent House Built]]+Data_Shelter_t[[#This Row],['# of Individual House Built]]</f>
        <v>0</v>
      </c>
      <c r="AA47" s="765"/>
      <c r="AU47" s="645"/>
    </row>
    <row r="48" spans="1:47" ht="23.25" customHeight="1" x14ac:dyDescent="0.25">
      <c r="A48" s="401">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4">
        <f ca="1">IF(Data_Shelter_t[[#This Row],[Status]]="Open",Data_Shelter_t[[#This Row],[HH Covered]],0)</f>
        <v>32</v>
      </c>
      <c r="V48" s="294" t="s">
        <v>269</v>
      </c>
      <c r="W48" s="385" t="str">
        <f ca="1">IFERROR(OFFSET(Camp_List[Status],MATCH(Data_Shelter_t[[#This Row],[Camp Name/ Relocation Sites]],Camp_List[Camp Name],0)-1,0,1,1),"")</f>
        <v>Open</v>
      </c>
      <c r="X48" s="386">
        <f ca="1">IFERROR(Data_Shelter_t[[#This Row],[HH Covered]]/OFFSET(Camp_List[HH],MATCH(Data_Shelter_t[[#This Row],[Camp Name/ Relocation Sites]],Camp_List[Camp Name],0)-1,0,1,1),"")</f>
        <v>5.1446945337620578E-2</v>
      </c>
      <c r="Y48" s="384">
        <f>Data_Shelter_t[[#This Row],['# of Permanent House Planned (Target)]]+Data_Shelter_t[[#This Row],['# of Individual House Planned (Target)]]</f>
        <v>0</v>
      </c>
      <c r="Z48" s="384">
        <f>Data_Shelter_t[[#This Row],['# of Permanent House Built]]+Data_Shelter_t[[#This Row],['# of Individual House Built]]</f>
        <v>0</v>
      </c>
      <c r="AU48" s="645"/>
    </row>
    <row r="49" spans="1:47" ht="23.25" customHeight="1" x14ac:dyDescent="0.25">
      <c r="A49" s="401">
        <v>42005</v>
      </c>
      <c r="B49" s="293" t="s">
        <v>273</v>
      </c>
      <c r="C49" s="293" t="s">
        <v>273</v>
      </c>
      <c r="D49" s="293" t="s">
        <v>7</v>
      </c>
      <c r="E49" s="295" t="s">
        <v>17</v>
      </c>
      <c r="F49" s="293" t="s">
        <v>68</v>
      </c>
      <c r="G49" s="26">
        <v>8</v>
      </c>
      <c r="H49" s="293"/>
      <c r="I49" s="293"/>
      <c r="J49" s="646">
        <v>2</v>
      </c>
      <c r="K49" s="26">
        <v>2</v>
      </c>
      <c r="L49" s="26"/>
      <c r="M49" s="26"/>
      <c r="N49" s="26"/>
      <c r="O49" s="293"/>
      <c r="P49" s="293"/>
      <c r="Q49" s="293"/>
      <c r="R49" s="293"/>
      <c r="S49" s="88"/>
      <c r="T49" s="88">
        <v>16</v>
      </c>
      <c r="U49" s="384">
        <f ca="1">IF(Data_Shelter_t[[#This Row],[Status]]="Open",Data_Shelter_t[[#This Row],[HH Covered]],0)</f>
        <v>16</v>
      </c>
      <c r="V49" s="294" t="s">
        <v>154</v>
      </c>
      <c r="W49" s="385" t="str">
        <f ca="1">IFERROR(OFFSET(Camp_List[Status],MATCH(Data_Shelter_t[[#This Row],[Camp Name/ Relocation Sites]],Camp_List[Camp Name],0)-1,0,1,1),"")</f>
        <v>Open</v>
      </c>
      <c r="X49" s="386">
        <f ca="1">IFERROR(Data_Shelter_t[[#This Row],[HH Covered]]/OFFSET(Camp_List[HH],MATCH(Data_Shelter_t[[#This Row],[Camp Name/ Relocation Sites]],Camp_List[Camp Name],0)-1,0,1,1),"")</f>
        <v>1.6309887869520898E-2</v>
      </c>
      <c r="Y49" s="384">
        <f>Data_Shelter_t[[#This Row],['# of Permanent House Planned (Target)]]+Data_Shelter_t[[#This Row],['# of Individual House Planned (Target)]]</f>
        <v>0</v>
      </c>
      <c r="Z49" s="384">
        <f>Data_Shelter_t[[#This Row],['# of Permanent House Built]]+Data_Shelter_t[[#This Row],['# of Individual House Built]]</f>
        <v>0</v>
      </c>
      <c r="AU49" s="645"/>
    </row>
    <row r="50" spans="1:47" ht="23.25" customHeight="1" x14ac:dyDescent="0.25">
      <c r="A50" s="401">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861</v>
      </c>
      <c r="W50" s="406" t="str">
        <f ca="1">IFERROR(OFFSET(Camp_List[Status],MATCH(Data_Shelter_t[[#This Row],[Camp Name/ Relocation Sites]],Camp_List[Camp Name],0)-1,0,1,1),"")</f>
        <v/>
      </c>
      <c r="X50" s="386" t="str">
        <f ca="1">IFERROR(Data_Shelter_t[[#This Row],[HH Covered]]/OFFSET(Camp_List[HH],MATCH(Data_Shelter_t[[#This Row],[Camp Name/ Relocation Sites]],Camp_List[Camp Name],0)-1,0,1,1),"")</f>
        <v/>
      </c>
      <c r="Y50" s="646">
        <f>Data_Shelter_t[[#This Row],['# of Permanent House Planned (Target)]]+Data_Shelter_t[[#This Row],['# of Individual House Planned (Target)]]</f>
        <v>15</v>
      </c>
      <c r="Z50" s="646">
        <f>Data_Shelter_t[[#This Row],['# of Permanent House Built]]+Data_Shelter_t[[#This Row],['# of Individual House Built]]</f>
        <v>15</v>
      </c>
      <c r="AU50" s="645"/>
    </row>
    <row r="51" spans="1:47" ht="23.25" customHeight="1" x14ac:dyDescent="0.25">
      <c r="A51" s="401">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861</v>
      </c>
      <c r="W51" s="406" t="str">
        <f ca="1">IFERROR(OFFSET(Camp_List[Status],MATCH(Data_Shelter_t[[#This Row],[Camp Name/ Relocation Sites]],Camp_List[Camp Name],0)-1,0,1,1),"")</f>
        <v/>
      </c>
      <c r="X51" s="386" t="str">
        <f ca="1">IFERROR(Data_Shelter_t[[#This Row],[HH Covered]]/OFFSET(Camp_List[HH],MATCH(Data_Shelter_t[[#This Row],[Camp Name/ Relocation Sites]],Camp_List[Camp Name],0)-1,0,1,1),"")</f>
        <v/>
      </c>
      <c r="Y51" s="646">
        <f>Data_Shelter_t[[#This Row],['# of Permanent House Planned (Target)]]+Data_Shelter_t[[#This Row],['# of Individual House Planned (Target)]]</f>
        <v>2</v>
      </c>
      <c r="Z51" s="19">
        <f>Data_Shelter_t[[#This Row],['# of Permanent House Built]]+Data_Shelter_t[[#This Row],['# of Individual House Built]]</f>
        <v>2</v>
      </c>
      <c r="AU51" s="645"/>
    </row>
    <row r="52" spans="1:47" ht="23.25" customHeight="1" x14ac:dyDescent="0.25">
      <c r="A52" s="401">
        <v>41548</v>
      </c>
      <c r="B52" s="293" t="s">
        <v>595</v>
      </c>
      <c r="C52" s="293" t="s">
        <v>595</v>
      </c>
      <c r="D52" s="293" t="s">
        <v>7</v>
      </c>
      <c r="E52" s="295" t="s">
        <v>18</v>
      </c>
      <c r="F52" s="293" t="s">
        <v>467</v>
      </c>
      <c r="G52" s="646">
        <v>1</v>
      </c>
      <c r="H52" s="293"/>
      <c r="I52" s="293"/>
      <c r="J52" s="646"/>
      <c r="K52" s="646"/>
      <c r="L52" s="646"/>
      <c r="M52" s="646">
        <v>22</v>
      </c>
      <c r="N52" s="646">
        <v>22</v>
      </c>
      <c r="O52" s="293"/>
      <c r="P52" s="208"/>
      <c r="Q52" s="293"/>
      <c r="R52" s="293"/>
      <c r="S52" s="88"/>
      <c r="T52" s="88">
        <v>22</v>
      </c>
      <c r="U52" s="88">
        <f ca="1">IF(Data_Shelter_t[[#This Row],[Status]]="Open",Data_Shelter_t[[#This Row],[HH Covered]],0)</f>
        <v>0</v>
      </c>
      <c r="V52" s="294" t="s">
        <v>861</v>
      </c>
      <c r="W52" s="406" t="str">
        <f ca="1">IFERROR(OFFSET(Camp_List[Status],MATCH(Data_Shelter_t[[#This Row],[Camp Name/ Relocation Sites]],Camp_List[Camp Name],0)-1,0,1,1),"")</f>
        <v/>
      </c>
      <c r="X52" s="386" t="str">
        <f ca="1">IFERROR(Data_Shelter_t[[#This Row],[HH Covered]]/OFFSET(Camp_List[HH],MATCH(Data_Shelter_t[[#This Row],[Camp Name/ Relocation Sites]],Camp_List[Camp Name],0)-1,0,1,1),"")</f>
        <v/>
      </c>
      <c r="Y52" s="646">
        <f>Data_Shelter_t[[#This Row],['# of Permanent House Planned (Target)]]+Data_Shelter_t[[#This Row],['# of Individual House Planned (Target)]]</f>
        <v>22</v>
      </c>
      <c r="Z52" s="19">
        <f>Data_Shelter_t[[#This Row],['# of Permanent House Built]]+Data_Shelter_t[[#This Row],['# of Individual House Built]]</f>
        <v>22</v>
      </c>
      <c r="AU52" s="645"/>
    </row>
    <row r="53" spans="1:47" ht="23.25" customHeight="1" x14ac:dyDescent="0.25">
      <c r="A53" s="401">
        <v>41548</v>
      </c>
      <c r="B53" s="293" t="s">
        <v>594</v>
      </c>
      <c r="C53" s="293" t="s">
        <v>594</v>
      </c>
      <c r="D53" s="293" t="s">
        <v>7</v>
      </c>
      <c r="E53" s="295" t="s">
        <v>18</v>
      </c>
      <c r="F53" s="293" t="s">
        <v>467</v>
      </c>
      <c r="G53" s="646">
        <v>1</v>
      </c>
      <c r="H53" s="293"/>
      <c r="I53" s="293"/>
      <c r="J53" s="646"/>
      <c r="K53" s="646"/>
      <c r="L53" s="646"/>
      <c r="M53" s="646">
        <v>25</v>
      </c>
      <c r="N53" s="646">
        <v>25</v>
      </c>
      <c r="O53" s="293"/>
      <c r="P53" s="208"/>
      <c r="Q53" s="293"/>
      <c r="R53" s="293"/>
      <c r="S53" s="88"/>
      <c r="T53" s="88">
        <v>25</v>
      </c>
      <c r="U53" s="88">
        <f ca="1">IF(Data_Shelter_t[[#This Row],[Status]]="Open",Data_Shelter_t[[#This Row],[HH Covered]],0)</f>
        <v>0</v>
      </c>
      <c r="V53" s="294" t="s">
        <v>861</v>
      </c>
      <c r="W53" s="406" t="str">
        <f ca="1">IFERROR(OFFSET(Camp_List[Status],MATCH(Data_Shelter_t[[#This Row],[Camp Name/ Relocation Sites]],Camp_List[Camp Name],0)-1,0,1,1),"")</f>
        <v/>
      </c>
      <c r="X53" s="386" t="str">
        <f ca="1">IFERROR(Data_Shelter_t[[#This Row],[HH Covered]]/OFFSET(Camp_List[HH],MATCH(Data_Shelter_t[[#This Row],[Camp Name/ Relocation Sites]],Camp_List[Camp Name],0)-1,0,1,1),"")</f>
        <v/>
      </c>
      <c r="Y53" s="646">
        <f>Data_Shelter_t[[#This Row],['# of Permanent House Planned (Target)]]+Data_Shelter_t[[#This Row],['# of Individual House Planned (Target)]]</f>
        <v>25</v>
      </c>
      <c r="Z53" s="646">
        <f>Data_Shelter_t[[#This Row],['# of Permanent House Built]]+Data_Shelter_t[[#This Row],['# of Individual House Built]]</f>
        <v>25</v>
      </c>
      <c r="AU53" s="645"/>
    </row>
    <row r="54" spans="1:47" ht="23.25" customHeight="1" x14ac:dyDescent="0.25">
      <c r="A54" s="401">
        <v>41548</v>
      </c>
      <c r="B54" s="293" t="s">
        <v>595</v>
      </c>
      <c r="C54" s="293" t="s">
        <v>595</v>
      </c>
      <c r="D54" s="293" t="s">
        <v>7</v>
      </c>
      <c r="E54" s="295" t="s">
        <v>18</v>
      </c>
      <c r="F54" s="293" t="s">
        <v>464</v>
      </c>
      <c r="G54" s="26">
        <v>1</v>
      </c>
      <c r="H54" s="293"/>
      <c r="I54" s="293"/>
      <c r="J54" s="646"/>
      <c r="K54" s="26"/>
      <c r="L54" s="26"/>
      <c r="M54" s="26">
        <v>77</v>
      </c>
      <c r="N54" s="26">
        <v>77</v>
      </c>
      <c r="O54" s="293"/>
      <c r="P54" s="208"/>
      <c r="Q54" s="293"/>
      <c r="R54" s="293"/>
      <c r="S54" s="88"/>
      <c r="T54" s="88">
        <v>77</v>
      </c>
      <c r="U54" s="88">
        <f ca="1">IF(Data_Shelter_t[[#This Row],[Status]]="Open",Data_Shelter_t[[#This Row],[HH Covered]],0)</f>
        <v>0</v>
      </c>
      <c r="V54" s="294" t="s">
        <v>861</v>
      </c>
      <c r="W54" s="406" t="str">
        <f ca="1">IFERROR(OFFSET(Camp_List[Status],MATCH(Data_Shelter_t[[#This Row],[Camp Name/ Relocation Sites]],Camp_List[Camp Name],0)-1,0,1,1),"")</f>
        <v/>
      </c>
      <c r="X54" s="386" t="str">
        <f ca="1">IFERROR(Data_Shelter_t[[#This Row],[HH Covered]]/OFFSET(Camp_List[HH],MATCH(Data_Shelter_t[[#This Row],[Camp Name/ Relocation Sites]],Camp_List[Camp Name],0)-1,0,1,1),"")</f>
        <v/>
      </c>
      <c r="Y54" s="646">
        <f>Data_Shelter_t[[#This Row],['# of Permanent House Planned (Target)]]+Data_Shelter_t[[#This Row],['# of Individual House Planned (Target)]]</f>
        <v>77</v>
      </c>
      <c r="Z54" s="646">
        <f>Data_Shelter_t[[#This Row],['# of Permanent House Built]]+Data_Shelter_t[[#This Row],['# of Individual House Built]]</f>
        <v>77</v>
      </c>
      <c r="AU54" s="645"/>
    </row>
    <row r="55" spans="1:47" ht="23.25" customHeight="1" x14ac:dyDescent="0.25">
      <c r="A55" s="401">
        <v>41548</v>
      </c>
      <c r="B55" s="293" t="s">
        <v>595</v>
      </c>
      <c r="C55" s="293" t="s">
        <v>595</v>
      </c>
      <c r="D55" s="293" t="s">
        <v>7</v>
      </c>
      <c r="E55" s="295" t="s">
        <v>18</v>
      </c>
      <c r="F55" s="293" t="s">
        <v>463</v>
      </c>
      <c r="G55" s="646">
        <v>1</v>
      </c>
      <c r="H55" s="293"/>
      <c r="I55" s="293"/>
      <c r="J55" s="646"/>
      <c r="K55" s="646"/>
      <c r="L55" s="646"/>
      <c r="M55" s="646">
        <v>9</v>
      </c>
      <c r="N55" s="646">
        <v>9</v>
      </c>
      <c r="O55" s="293"/>
      <c r="P55" s="208"/>
      <c r="Q55" s="293"/>
      <c r="R55" s="293"/>
      <c r="S55" s="88"/>
      <c r="T55" s="88">
        <v>9</v>
      </c>
      <c r="U55" s="88">
        <f ca="1">IF(Data_Shelter_t[[#This Row],[Status]]="Open",Data_Shelter_t[[#This Row],[HH Covered]],0)</f>
        <v>0</v>
      </c>
      <c r="V55" s="294" t="s">
        <v>861</v>
      </c>
      <c r="W55" s="406" t="str">
        <f ca="1">IFERROR(OFFSET(Camp_List[Status],MATCH(Data_Shelter_t[[#This Row],[Camp Name/ Relocation Sites]],Camp_List[Camp Name],0)-1,0,1,1),"")</f>
        <v/>
      </c>
      <c r="X55" s="386" t="str">
        <f ca="1">IFERROR(Data_Shelter_t[[#This Row],[HH Covered]]/OFFSET(Camp_List[HH],MATCH(Data_Shelter_t[[#This Row],[Camp Name/ Relocation Sites]],Camp_List[Camp Name],0)-1,0,1,1),"")</f>
        <v/>
      </c>
      <c r="Y55" s="646">
        <f>Data_Shelter_t[[#This Row],['# of Permanent House Planned (Target)]]+Data_Shelter_t[[#This Row],['# of Individual House Planned (Target)]]</f>
        <v>9</v>
      </c>
      <c r="Z55" s="19">
        <f>Data_Shelter_t[[#This Row],['# of Permanent House Built]]+Data_Shelter_t[[#This Row],['# of Individual House Built]]</f>
        <v>9</v>
      </c>
      <c r="AU55" s="645"/>
    </row>
    <row r="56" spans="1:47" ht="23.25" customHeight="1" x14ac:dyDescent="0.25">
      <c r="A56" s="401">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06" t="str">
        <f ca="1">IFERROR(OFFSET(Camp_List[Status],MATCH(Data_Shelter_t[[#This Row],[Camp Name/ Relocation Sites]],Camp_List[Camp Name],0)-1,0,1,1),"")</f>
        <v>Open</v>
      </c>
      <c r="X56" s="386">
        <f ca="1">IFERROR(Data_Shelter_t[[#This Row],[HH Covered]]/OFFSET(Camp_List[HH],MATCH(Data_Shelter_t[[#This Row],[Camp Name/ Relocation Sites]],Camp_List[Camp Name],0)-1,0,1,1),"")</f>
        <v>0.61489191353082462</v>
      </c>
      <c r="Y56" s="646">
        <f>Data_Shelter_t[[#This Row],['# of Permanent House Planned (Target)]]+Data_Shelter_t[[#This Row],['# of Individual House Planned (Target)]]</f>
        <v>0</v>
      </c>
      <c r="Z56" s="646">
        <f>Data_Shelter_t[[#This Row],['# of Permanent House Built]]+Data_Shelter_t[[#This Row],['# of Individual House Built]]</f>
        <v>0</v>
      </c>
      <c r="AU56" s="645"/>
    </row>
    <row r="57" spans="1:47" ht="23.25" customHeight="1" x14ac:dyDescent="0.25">
      <c r="A57" s="401">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06" t="str">
        <f ca="1">IFERROR(OFFSET(Camp_List[Status],MATCH(Data_Shelter_t[[#This Row],[Camp Name/ Relocation Sites]],Camp_List[Camp Name],0)-1,0,1,1),"")</f>
        <v>Open</v>
      </c>
      <c r="X57" s="386">
        <f ca="1">IFERROR(Data_Shelter_t[[#This Row],[HH Covered]]/OFFSET(Camp_List[HH],MATCH(Data_Shelter_t[[#This Row],[Camp Name/ Relocation Sites]],Camp_List[Camp Name],0)-1,0,1,1),"")</f>
        <v>0.39486673247778875</v>
      </c>
      <c r="Y57" s="646">
        <f>Data_Shelter_t[[#This Row],['# of Permanent House Planned (Target)]]+Data_Shelter_t[[#This Row],['# of Individual House Planned (Target)]]</f>
        <v>0</v>
      </c>
      <c r="Z57" s="646">
        <f>Data_Shelter_t[[#This Row],['# of Permanent House Built]]+Data_Shelter_t[[#This Row],['# of Individual House Built]]</f>
        <v>0</v>
      </c>
      <c r="AU57" s="645"/>
    </row>
    <row r="58" spans="1:47" ht="23.25" customHeight="1" x14ac:dyDescent="0.25">
      <c r="A58" s="401">
        <v>41548</v>
      </c>
      <c r="B58" s="293" t="s">
        <v>278</v>
      </c>
      <c r="C58" s="293" t="s">
        <v>278</v>
      </c>
      <c r="D58" s="293" t="s">
        <v>7</v>
      </c>
      <c r="E58" s="295" t="s">
        <v>17</v>
      </c>
      <c r="F58" s="293" t="s">
        <v>581</v>
      </c>
      <c r="G58" s="646">
        <v>8</v>
      </c>
      <c r="H58" s="293"/>
      <c r="I58" s="293"/>
      <c r="J58" s="646">
        <v>40</v>
      </c>
      <c r="K58" s="646">
        <v>40</v>
      </c>
      <c r="L58" s="646"/>
      <c r="M58" s="646"/>
      <c r="N58" s="646"/>
      <c r="O58" s="293"/>
      <c r="P58" s="208"/>
      <c r="Q58" s="293"/>
      <c r="R58" s="293"/>
      <c r="S58" s="88"/>
      <c r="T58" s="88">
        <v>320</v>
      </c>
      <c r="U58" s="88">
        <f ca="1">IF(Data_Shelter_t[[#This Row],[Status]]="Open",Data_Shelter_t[[#This Row],[HH Covered]],0)</f>
        <v>320</v>
      </c>
      <c r="V58" s="294" t="s">
        <v>583</v>
      </c>
      <c r="W58" s="406" t="str">
        <f ca="1">IFERROR(OFFSET(Camp_List[Status],MATCH(Data_Shelter_t[[#This Row],[Camp Name/ Relocation Sites]],Camp_List[Camp Name],0)-1,0,1,1),"")</f>
        <v>Open</v>
      </c>
      <c r="X58" s="386">
        <f ca="1">IFERROR(Data_Shelter_t[[#This Row],[HH Covered]]/OFFSET(Camp_List[HH],MATCH(Data_Shelter_t[[#This Row],[Camp Name/ Relocation Sites]],Camp_List[Camp Name],0)-1,0,1,1),"")</f>
        <v>0.31589338598223099</v>
      </c>
      <c r="Y58" s="646">
        <f>Data_Shelter_t[[#This Row],['# of Permanent House Planned (Target)]]+Data_Shelter_t[[#This Row],['# of Individual House Planned (Target)]]</f>
        <v>0</v>
      </c>
      <c r="Z58" s="646">
        <f>Data_Shelter_t[[#This Row],['# of Permanent House Built]]+Data_Shelter_t[[#This Row],['# of Individual House Built]]</f>
        <v>0</v>
      </c>
      <c r="AU58" s="645"/>
    </row>
    <row r="59" spans="1:47" ht="23.25" customHeight="1" x14ac:dyDescent="0.25">
      <c r="A59" s="401">
        <v>41548</v>
      </c>
      <c r="B59" s="293" t="s">
        <v>520</v>
      </c>
      <c r="C59" s="293" t="s">
        <v>520</v>
      </c>
      <c r="D59" s="293" t="s">
        <v>7</v>
      </c>
      <c r="E59" s="295" t="s">
        <v>17</v>
      </c>
      <c r="F59" s="293" t="s">
        <v>581</v>
      </c>
      <c r="G59" s="646">
        <v>8</v>
      </c>
      <c r="H59" s="293"/>
      <c r="I59" s="293"/>
      <c r="J59" s="646">
        <v>5</v>
      </c>
      <c r="K59" s="646">
        <v>5</v>
      </c>
      <c r="L59" s="646"/>
      <c r="M59" s="26"/>
      <c r="N59" s="26"/>
      <c r="O59" s="293"/>
      <c r="P59" s="208"/>
      <c r="Q59" s="293"/>
      <c r="R59" s="293"/>
      <c r="S59" s="88"/>
      <c r="T59" s="88">
        <v>40</v>
      </c>
      <c r="U59" s="88">
        <f ca="1">IF(Data_Shelter_t[[#This Row],[Status]]="Open",Data_Shelter_t[[#This Row],[HH Covered]],0)</f>
        <v>40</v>
      </c>
      <c r="V59" s="294" t="s">
        <v>583</v>
      </c>
      <c r="W59" s="406" t="str">
        <f ca="1">IFERROR(OFFSET(Camp_List[Status],MATCH(Data_Shelter_t[[#This Row],[Camp Name/ Relocation Sites]],Camp_List[Camp Name],0)-1,0,1,1),"")</f>
        <v>Open</v>
      </c>
      <c r="X59" s="386">
        <f ca="1">IFERROR(Data_Shelter_t[[#This Row],[HH Covered]]/OFFSET(Camp_List[HH],MATCH(Data_Shelter_t[[#This Row],[Camp Name/ Relocation Sites]],Camp_List[Camp Name],0)-1,0,1,1),"")</f>
        <v>3.9486673247778874E-2</v>
      </c>
      <c r="Y59" s="646">
        <f>Data_Shelter_t[[#This Row],['# of Permanent House Planned (Target)]]+Data_Shelter_t[[#This Row],['# of Individual House Planned (Target)]]</f>
        <v>0</v>
      </c>
      <c r="Z59" s="646">
        <f>Data_Shelter_t[[#This Row],['# of Permanent House Built]]+Data_Shelter_t[[#This Row],['# of Individual House Built]]</f>
        <v>0</v>
      </c>
      <c r="AU59" s="645"/>
    </row>
    <row r="60" spans="1:47" s="645" customFormat="1" ht="23.25" customHeight="1" x14ac:dyDescent="0.25">
      <c r="A60" s="943">
        <v>41548</v>
      </c>
      <c r="B60" s="293" t="s">
        <v>280</v>
      </c>
      <c r="C60" s="293" t="s">
        <v>280</v>
      </c>
      <c r="D60" s="293" t="s">
        <v>7</v>
      </c>
      <c r="E60" s="295" t="s">
        <v>17</v>
      </c>
      <c r="F60" s="293" t="s">
        <v>581</v>
      </c>
      <c r="G60" s="646">
        <v>8</v>
      </c>
      <c r="H60" s="293"/>
      <c r="I60" s="293"/>
      <c r="J60" s="646">
        <v>32</v>
      </c>
      <c r="K60" s="646">
        <v>32</v>
      </c>
      <c r="L60" s="646">
        <v>0</v>
      </c>
      <c r="M60" s="646"/>
      <c r="N60" s="646"/>
      <c r="O60" s="293"/>
      <c r="P60" s="208"/>
      <c r="Q60" s="293"/>
      <c r="R60" s="293"/>
      <c r="S60" s="88"/>
      <c r="T60" s="88">
        <v>256</v>
      </c>
      <c r="U60" s="88">
        <f ca="1">IF(Data_Shelter_t[[#This Row],[Status]]="Open",Data_Shelter_t[[#This Row],[HH Covered]],0)</f>
        <v>256</v>
      </c>
      <c r="V60" s="294" t="s">
        <v>583</v>
      </c>
      <c r="W60" s="406" t="str">
        <f ca="1">IFERROR(OFFSET(Camp_List[Status],MATCH(Data_Shelter_t[[#This Row],[Camp Name/ Relocation Sites]],Camp_List[Camp Name],0)-1,0,1,1),"")</f>
        <v>Open</v>
      </c>
      <c r="X60" s="386">
        <f ca="1">IFERROR(Data_Shelter_t[[#This Row],[HH Covered]]/OFFSET(Camp_List[HH],MATCH(Data_Shelter_t[[#This Row],[Camp Name/ Relocation Sites]],Camp_List[Camp Name],0)-1,0,1,1),"")</f>
        <v>0.25271470878578478</v>
      </c>
      <c r="Y60" s="646">
        <f>Data_Shelter_t[[#This Row],['# of Permanent House Planned (Target)]]+Data_Shelter_t[[#This Row],['# of Individual House Planned (Target)]]</f>
        <v>0</v>
      </c>
      <c r="Z60" s="646">
        <f>Data_Shelter_t[[#This Row],['# of Permanent House Built]]+Data_Shelter_t[[#This Row],['# of Individual House Built]]</f>
        <v>0</v>
      </c>
      <c r="AA60" s="38"/>
    </row>
    <row r="61" spans="1:47" ht="23.25" customHeight="1" x14ac:dyDescent="0.25">
      <c r="A61" s="401">
        <v>41548</v>
      </c>
      <c r="B61" s="294" t="s">
        <v>278</v>
      </c>
      <c r="C61" s="294" t="s">
        <v>278</v>
      </c>
      <c r="D61" s="294" t="s">
        <v>7</v>
      </c>
      <c r="E61" s="306" t="s">
        <v>17</v>
      </c>
      <c r="F61" s="294" t="s">
        <v>582</v>
      </c>
      <c r="G61" s="19">
        <v>8</v>
      </c>
      <c r="H61" s="294"/>
      <c r="I61" s="294"/>
      <c r="J61" s="19">
        <v>100</v>
      </c>
      <c r="K61" s="19">
        <v>100</v>
      </c>
      <c r="L61" s="19">
        <v>0</v>
      </c>
      <c r="M61" s="19"/>
      <c r="N61" s="19"/>
      <c r="O61" s="294"/>
      <c r="P61" s="418"/>
      <c r="Q61" s="294"/>
      <c r="R61" s="294"/>
      <c r="S61" s="88"/>
      <c r="T61" s="88">
        <v>800</v>
      </c>
      <c r="U61" s="88">
        <f ca="1">IF(Data_Shelter_t[[#This Row],[Status]]="Open",Data_Shelter_t[[#This Row],[HH Covered]],0)</f>
        <v>800</v>
      </c>
      <c r="V61" s="294" t="s">
        <v>584</v>
      </c>
      <c r="W61" s="406" t="str">
        <f ca="1">IFERROR(OFFSET(Camp_List[Status],MATCH(Data_Shelter_t[[#This Row],[Camp Name/ Relocation Sites]],Camp_List[Camp Name],0)-1,0,1,1),"")</f>
        <v>Open</v>
      </c>
      <c r="X61" s="386">
        <f ca="1">IFERROR(Data_Shelter_t[[#This Row],[HH Covered]]/OFFSET(Camp_List[HH],MATCH(Data_Shelter_t[[#This Row],[Camp Name/ Relocation Sites]],Camp_List[Camp Name],0)-1,0,1,1),"")</f>
        <v>0.59970014992503751</v>
      </c>
      <c r="Y61" s="646">
        <f>Data_Shelter_t[[#This Row],['# of Permanent House Planned (Target)]]+Data_Shelter_t[[#This Row],['# of Individual House Planned (Target)]]</f>
        <v>0</v>
      </c>
      <c r="Z61" s="646">
        <f>Data_Shelter_t[[#This Row],['# of Permanent House Built]]+Data_Shelter_t[[#This Row],['# of Individual House Built]]</f>
        <v>0</v>
      </c>
      <c r="AU61" s="645"/>
    </row>
    <row r="62" spans="1:47" ht="23.25" customHeight="1" x14ac:dyDescent="0.25">
      <c r="A62" s="401">
        <v>41548</v>
      </c>
      <c r="B62" s="293" t="s">
        <v>520</v>
      </c>
      <c r="C62" s="293" t="s">
        <v>520</v>
      </c>
      <c r="D62" s="293" t="s">
        <v>7</v>
      </c>
      <c r="E62" s="295" t="s">
        <v>17</v>
      </c>
      <c r="F62" s="293" t="s">
        <v>582</v>
      </c>
      <c r="G62" s="646">
        <v>8</v>
      </c>
      <c r="H62" s="293"/>
      <c r="I62" s="293"/>
      <c r="J62" s="19">
        <v>14</v>
      </c>
      <c r="K62" s="646">
        <v>14</v>
      </c>
      <c r="L62" s="646"/>
      <c r="M62" s="646"/>
      <c r="N62" s="646"/>
      <c r="O62" s="293"/>
      <c r="P62" s="208"/>
      <c r="Q62" s="293"/>
      <c r="R62" s="293"/>
      <c r="S62" s="88"/>
      <c r="T62" s="88">
        <v>112</v>
      </c>
      <c r="U62" s="88">
        <f ca="1">IF(Data_Shelter_t[[#This Row],[Status]]="Open",Data_Shelter_t[[#This Row],[HH Covered]],0)</f>
        <v>112</v>
      </c>
      <c r="V62" s="294" t="s">
        <v>584</v>
      </c>
      <c r="W62" s="406" t="str">
        <f ca="1">IFERROR(OFFSET(Camp_List[Status],MATCH(Data_Shelter_t[[#This Row],[Camp Name/ Relocation Sites]],Camp_List[Camp Name],0)-1,0,1,1),"")</f>
        <v>Open</v>
      </c>
      <c r="X62" s="386">
        <f ca="1">IFERROR(Data_Shelter_t[[#This Row],[HH Covered]]/OFFSET(Camp_List[HH],MATCH(Data_Shelter_t[[#This Row],[Camp Name/ Relocation Sites]],Camp_List[Camp Name],0)-1,0,1,1),"")</f>
        <v>8.395802098950525E-2</v>
      </c>
      <c r="Y62" s="19">
        <f>Data_Shelter_t[[#This Row],['# of Permanent House Planned (Target)]]+Data_Shelter_t[[#This Row],['# of Individual House Planned (Target)]]</f>
        <v>0</v>
      </c>
      <c r="Z62" s="19">
        <f>Data_Shelter_t[[#This Row],['# of Permanent House Built]]+Data_Shelter_t[[#This Row],['# of Individual House Built]]</f>
        <v>0</v>
      </c>
      <c r="AU62" s="645"/>
    </row>
    <row r="63" spans="1:47" ht="23.25" customHeight="1" x14ac:dyDescent="0.25">
      <c r="A63" s="401">
        <v>41548</v>
      </c>
      <c r="B63" s="294" t="s">
        <v>281</v>
      </c>
      <c r="C63" s="294" t="s">
        <v>281</v>
      </c>
      <c r="D63" s="294" t="s">
        <v>7</v>
      </c>
      <c r="E63" s="306" t="s">
        <v>17</v>
      </c>
      <c r="F63" s="294" t="s">
        <v>582</v>
      </c>
      <c r="G63" s="19">
        <v>10</v>
      </c>
      <c r="H63" s="294"/>
      <c r="I63" s="294"/>
      <c r="J63" s="19">
        <v>40</v>
      </c>
      <c r="K63" s="19">
        <v>40</v>
      </c>
      <c r="L63" s="19"/>
      <c r="M63" s="19"/>
      <c r="N63" s="19"/>
      <c r="O63" s="294"/>
      <c r="P63" s="418"/>
      <c r="Q63" s="294"/>
      <c r="R63" s="294"/>
      <c r="S63" s="88"/>
      <c r="T63" s="88">
        <v>400</v>
      </c>
      <c r="U63" s="88">
        <f ca="1">IF(Data_Shelter_t[[#This Row],[Status]]="Open",Data_Shelter_t[[#This Row],[HH Covered]],0)</f>
        <v>400</v>
      </c>
      <c r="V63" s="294" t="s">
        <v>584</v>
      </c>
      <c r="W63" s="406" t="str">
        <f ca="1">IFERROR(OFFSET(Camp_List[Status],MATCH(Data_Shelter_t[[#This Row],[Camp Name/ Relocation Sites]],Camp_List[Camp Name],0)-1,0,1,1),"")</f>
        <v>Open</v>
      </c>
      <c r="X63" s="386">
        <f ca="1">IFERROR(Data_Shelter_t[[#This Row],[HH Covered]]/OFFSET(Camp_List[HH],MATCH(Data_Shelter_t[[#This Row],[Camp Name/ Relocation Sites]],Camp_List[Camp Name],0)-1,0,1,1),"")</f>
        <v>0.29985007496251875</v>
      </c>
      <c r="Y63" s="19">
        <f>Data_Shelter_t[[#This Row],['# of Permanent House Planned (Target)]]+Data_Shelter_t[[#This Row],['# of Individual House Planned (Target)]]</f>
        <v>0</v>
      </c>
      <c r="Z63" s="19">
        <f>Data_Shelter_t[[#This Row],['# of Permanent House Built]]+Data_Shelter_t[[#This Row],['# of Individual House Built]]</f>
        <v>0</v>
      </c>
      <c r="AU63" s="645"/>
    </row>
    <row r="64" spans="1:47" ht="23.25" customHeight="1" x14ac:dyDescent="0.25">
      <c r="A64" s="401">
        <v>41548</v>
      </c>
      <c r="B64" s="293" t="s">
        <v>425</v>
      </c>
      <c r="C64" s="293" t="s">
        <v>425</v>
      </c>
      <c r="D64" s="293" t="s">
        <v>7</v>
      </c>
      <c r="E64" s="295" t="s">
        <v>17</v>
      </c>
      <c r="F64" s="293" t="s">
        <v>61</v>
      </c>
      <c r="G64" s="646">
        <v>8</v>
      </c>
      <c r="H64" s="293"/>
      <c r="I64" s="293"/>
      <c r="J64" s="646">
        <v>41</v>
      </c>
      <c r="K64" s="646">
        <v>41</v>
      </c>
      <c r="L64" s="646"/>
      <c r="M64" s="646"/>
      <c r="N64" s="646"/>
      <c r="O64" s="293"/>
      <c r="P64" s="208"/>
      <c r="Q64" s="293"/>
      <c r="R64" s="293"/>
      <c r="S64" s="88"/>
      <c r="T64" s="88">
        <v>328</v>
      </c>
      <c r="U64" s="88">
        <f ca="1">IF(Data_Shelter_t[[#This Row],[Status]]="Open",Data_Shelter_t[[#This Row],[HH Covered]],0)</f>
        <v>328</v>
      </c>
      <c r="V64" s="294" t="s">
        <v>147</v>
      </c>
      <c r="W64" s="406" t="str">
        <f ca="1">IFERROR(OFFSET(Camp_List[Status],MATCH(Data_Shelter_t[[#This Row],[Camp Name/ Relocation Sites]],Camp_List[Camp Name],0)-1,0,1,1),"")</f>
        <v>Open</v>
      </c>
      <c r="X64" s="386">
        <f ca="1">IFERROR(Data_Shelter_t[[#This Row],[HH Covered]]/OFFSET(Camp_List[HH],MATCH(Data_Shelter_t[[#This Row],[Camp Name/ Relocation Sites]],Camp_List[Camp Name],0)-1,0,1,1),"")</f>
        <v>0.16540595057992941</v>
      </c>
      <c r="Y64" s="646">
        <f>Data_Shelter_t[[#This Row],['# of Permanent House Planned (Target)]]+Data_Shelter_t[[#This Row],['# of Individual House Planned (Target)]]</f>
        <v>0</v>
      </c>
      <c r="Z64" s="646">
        <f>Data_Shelter_t[[#This Row],['# of Permanent House Built]]+Data_Shelter_t[[#This Row],['# of Individual House Built]]</f>
        <v>0</v>
      </c>
      <c r="AU64" s="645"/>
    </row>
    <row r="65" spans="1:47" ht="23.25" customHeight="1" x14ac:dyDescent="0.25">
      <c r="A65" s="401">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06" t="str">
        <f ca="1">IFERROR(OFFSET(Camp_List[Status],MATCH(Data_Shelter_t[[#This Row],[Camp Name/ Relocation Sites]],Camp_List[Camp Name],0)-1,0,1,1),"")</f>
        <v>Open</v>
      </c>
      <c r="X65" s="386">
        <f ca="1">IFERROR(Data_Shelter_t[[#This Row],[HH Covered]]/OFFSET(Camp_List[HH],MATCH(Data_Shelter_t[[#This Row],[Camp Name/ Relocation Sites]],Camp_List[Camp Name],0)-1,0,1,1),"")</f>
        <v>0.56883509833585477</v>
      </c>
      <c r="Y65" s="646">
        <f>Data_Shelter_t[[#This Row],['# of Permanent House Planned (Target)]]+Data_Shelter_t[[#This Row],['# of Individual House Planned (Target)]]</f>
        <v>0</v>
      </c>
      <c r="Z65" s="646">
        <f>Data_Shelter_t[[#This Row],['# of Permanent House Built]]+Data_Shelter_t[[#This Row],['# of Individual House Built]]</f>
        <v>0</v>
      </c>
      <c r="AU65" s="645"/>
    </row>
    <row r="66" spans="1:47" ht="23.25" customHeight="1" x14ac:dyDescent="0.25">
      <c r="A66" s="401">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0</v>
      </c>
      <c r="V66" s="294" t="s">
        <v>148</v>
      </c>
      <c r="W66" s="406" t="str">
        <f ca="1">IFERROR(OFFSET(Camp_List[Status],MATCH(Data_Shelter_t[[#This Row],[Camp Name/ Relocation Sites]],Camp_List[Camp Name],0)-1,0,1,1),"")</f>
        <v/>
      </c>
      <c r="X66" s="386" t="str">
        <f ca="1">IFERROR(Data_Shelter_t[[#This Row],[HH Covered]]/OFFSET(Camp_List[HH],MATCH(Data_Shelter_t[[#This Row],[Camp Name/ Relocation Sites]],Camp_List[Camp Name],0)-1,0,1,1),"")</f>
        <v/>
      </c>
      <c r="Y66" s="646">
        <f>Data_Shelter_t[[#This Row],['# of Permanent House Planned (Target)]]+Data_Shelter_t[[#This Row],['# of Individual House Planned (Target)]]</f>
        <v>0</v>
      </c>
      <c r="Z66" s="646">
        <f>Data_Shelter_t[[#This Row],['# of Permanent House Built]]+Data_Shelter_t[[#This Row],['# of Individual House Built]]</f>
        <v>0</v>
      </c>
      <c r="AU66" s="645"/>
    </row>
    <row r="67" spans="1:47" s="5" customFormat="1" ht="23.25" customHeight="1" x14ac:dyDescent="0.25">
      <c r="A67" s="401">
        <v>41548</v>
      </c>
      <c r="B67" s="293" t="s">
        <v>278</v>
      </c>
      <c r="C67" s="293" t="s">
        <v>278</v>
      </c>
      <c r="D67" s="293" t="s">
        <v>7</v>
      </c>
      <c r="E67" s="295" t="s">
        <v>17</v>
      </c>
      <c r="F67" s="293" t="s">
        <v>62</v>
      </c>
      <c r="G67" s="646">
        <v>8</v>
      </c>
      <c r="H67" s="293"/>
      <c r="I67" s="293"/>
      <c r="J67" s="646">
        <v>75</v>
      </c>
      <c r="K67" s="646">
        <v>75</v>
      </c>
      <c r="L67" s="646"/>
      <c r="M67" s="646"/>
      <c r="N67" s="646"/>
      <c r="O67" s="293"/>
      <c r="P67" s="208"/>
      <c r="Q67" s="293"/>
      <c r="R67" s="293"/>
      <c r="S67" s="88"/>
      <c r="T67" s="88">
        <v>600</v>
      </c>
      <c r="U67" s="88">
        <f ca="1">IF(Data_Shelter_t[[#This Row],[Status]]="Open",Data_Shelter_t[[#This Row],[HH Covered]],0)</f>
        <v>0</v>
      </c>
      <c r="V67" s="294" t="s">
        <v>148</v>
      </c>
      <c r="W67" s="406" t="str">
        <f ca="1">IFERROR(OFFSET(Camp_List[Status],MATCH(Data_Shelter_t[[#This Row],[Camp Name/ Relocation Sites]],Camp_List[Camp Name],0)-1,0,1,1),"")</f>
        <v/>
      </c>
      <c r="X67" s="386" t="str">
        <f ca="1">IFERROR(Data_Shelter_t[[#This Row],[HH Covered]]/OFFSET(Camp_List[HH],MATCH(Data_Shelter_t[[#This Row],[Camp Name/ Relocation Sites]],Camp_List[Camp Name],0)-1,0,1,1),"")</f>
        <v/>
      </c>
      <c r="Y67" s="646">
        <f>Data_Shelter_t[[#This Row],['# of Permanent House Planned (Target)]]+Data_Shelter_t[[#This Row],['# of Individual House Planned (Target)]]</f>
        <v>0</v>
      </c>
      <c r="Z67" s="646">
        <f>Data_Shelter_t[[#This Row],['# of Permanent House Built]]+Data_Shelter_t[[#This Row],['# of Individual House Built]]</f>
        <v>0</v>
      </c>
      <c r="AA67" s="38"/>
      <c r="AU67" s="645"/>
    </row>
    <row r="68" spans="1:47" s="5" customFormat="1" ht="23.25" customHeight="1" x14ac:dyDescent="0.25">
      <c r="A68" s="943">
        <v>41548</v>
      </c>
      <c r="B68" s="293" t="s">
        <v>270</v>
      </c>
      <c r="C68" s="293" t="s">
        <v>270</v>
      </c>
      <c r="D68" s="293" t="s">
        <v>7</v>
      </c>
      <c r="E68" s="295" t="s">
        <v>13</v>
      </c>
      <c r="F68" s="293" t="s">
        <v>40</v>
      </c>
      <c r="G68" s="646">
        <v>8</v>
      </c>
      <c r="H68" s="293"/>
      <c r="I68" s="293"/>
      <c r="J68" s="646">
        <v>86</v>
      </c>
      <c r="K68" s="646">
        <v>86</v>
      </c>
      <c r="L68" s="646"/>
      <c r="M68" s="646"/>
      <c r="N68" s="646"/>
      <c r="O68" s="293"/>
      <c r="P68" s="208"/>
      <c r="Q68" s="293"/>
      <c r="R68" s="293"/>
      <c r="S68" s="88"/>
      <c r="T68" s="88">
        <f>86*8</f>
        <v>688</v>
      </c>
      <c r="U68" s="88">
        <f ca="1">IF(Data_Shelter_t[[#This Row],[Status]]="Open",Data_Shelter_t[[#This Row],[HH Covered]],0)</f>
        <v>688</v>
      </c>
      <c r="V68" s="294" t="s">
        <v>126</v>
      </c>
      <c r="W68" s="406" t="str">
        <f ca="1">IFERROR(OFFSET(Camp_List[Status],MATCH(Data_Shelter_t[[#This Row],[Camp Name/ Relocation Sites]],Camp_List[Camp Name],0)-1,0,1,1),"")</f>
        <v>Open</v>
      </c>
      <c r="X68" s="386">
        <f ca="1">IFERROR(Data_Shelter_t[[#This Row],[HH Covered]]/OFFSET(Camp_List[HH],MATCH(Data_Shelter_t[[#This Row],[Camp Name/ Relocation Sites]],Camp_List[Camp Name],0)-1,0,1,1),"")</f>
        <v>0.51228592702903941</v>
      </c>
      <c r="Y68" s="646">
        <f>Data_Shelter_t[[#This Row],['# of Permanent House Planned (Target)]]+Data_Shelter_t[[#This Row],['# of Individual House Planned (Target)]]</f>
        <v>0</v>
      </c>
      <c r="Z68" s="646">
        <f>Data_Shelter_t[[#This Row],['# of Permanent House Built]]+Data_Shelter_t[[#This Row],['# of Individual House Built]]</f>
        <v>0</v>
      </c>
      <c r="AA68" s="38"/>
      <c r="AU68" s="645"/>
    </row>
    <row r="69" spans="1:47" s="5" customFormat="1" ht="23.25" customHeight="1" x14ac:dyDescent="0.25">
      <c r="A69" s="401">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06" t="str">
        <f ca="1">IFERROR(OFFSET(Camp_List[Status],MATCH(Data_Shelter_t[[#This Row],[Camp Name/ Relocation Sites]],Camp_List[Camp Name],0)-1,0,1,1),"")</f>
        <v>Open</v>
      </c>
      <c r="X69" s="386">
        <f ca="1">IFERROR(Data_Shelter_t[[#This Row],[HH Covered]]/OFFSET(Camp_List[HH],MATCH(Data_Shelter_t[[#This Row],[Camp Name/ Relocation Sites]],Camp_List[Camp Name],0)-1,0,1,1),"")</f>
        <v>1.0032154340836013</v>
      </c>
      <c r="Y69" s="19">
        <f>Data_Shelter_t[[#This Row],['# of Permanent House Planned (Target)]]+Data_Shelter_t[[#This Row],['# of Individual House Planned (Target)]]</f>
        <v>0</v>
      </c>
      <c r="Z69" s="19">
        <f>Data_Shelter_t[[#This Row],['# of Permanent House Built]]+Data_Shelter_t[[#This Row],['# of Individual House Built]]</f>
        <v>0</v>
      </c>
      <c r="AA69" s="38"/>
      <c r="AU69" s="645"/>
    </row>
    <row r="70" spans="1:47" s="5" customFormat="1" ht="23.25" customHeight="1" x14ac:dyDescent="0.25">
      <c r="A70" s="401">
        <v>41548</v>
      </c>
      <c r="B70" s="293" t="s">
        <v>270</v>
      </c>
      <c r="C70" s="293" t="s">
        <v>270</v>
      </c>
      <c r="D70" s="293" t="s">
        <v>7</v>
      </c>
      <c r="E70" s="295" t="s">
        <v>13</v>
      </c>
      <c r="F70" s="293" t="s">
        <v>39</v>
      </c>
      <c r="G70" s="26">
        <v>8</v>
      </c>
      <c r="H70" s="293"/>
      <c r="I70" s="293"/>
      <c r="J70" s="26">
        <v>169</v>
      </c>
      <c r="K70" s="26">
        <v>169</v>
      </c>
      <c r="L70" s="646"/>
      <c r="M70" s="26"/>
      <c r="N70" s="26"/>
      <c r="O70" s="293"/>
      <c r="P70" s="208"/>
      <c r="Q70" s="293"/>
      <c r="R70" s="293"/>
      <c r="S70" s="88"/>
      <c r="T70" s="88">
        <v>1352</v>
      </c>
      <c r="U70" s="88">
        <f ca="1">IF(Data_Shelter_t[[#This Row],[Status]]="Open",Data_Shelter_t[[#This Row],[HH Covered]],0)</f>
        <v>0</v>
      </c>
      <c r="V70" s="294" t="s">
        <v>125</v>
      </c>
      <c r="W70" s="406" t="str">
        <f ca="1">IFERROR(OFFSET(Camp_List[Status],MATCH(Data_Shelter_t[[#This Row],[Camp Name/ Relocation Sites]],Camp_List[Camp Name],0)-1,0,1,1),"")</f>
        <v/>
      </c>
      <c r="X70" s="386" t="str">
        <f ca="1">IFERROR(Data_Shelter_t[[#This Row],[HH Covered]]/OFFSET(Camp_List[HH],MATCH(Data_Shelter_t[[#This Row],[Camp Name/ Relocation Sites]],Camp_List[Camp Name],0)-1,0,1,1),"")</f>
        <v/>
      </c>
      <c r="Y70" s="646">
        <f>Data_Shelter_t[[#This Row],['# of Permanent House Planned (Target)]]+Data_Shelter_t[[#This Row],['# of Individual House Planned (Target)]]</f>
        <v>0</v>
      </c>
      <c r="Z70" s="646">
        <f>Data_Shelter_t[[#This Row],['# of Permanent House Built]]+Data_Shelter_t[[#This Row],['# of Individual House Built]]</f>
        <v>0</v>
      </c>
      <c r="AA70" s="38"/>
      <c r="AU70" s="645"/>
    </row>
    <row r="71" spans="1:47" s="5" customFormat="1" ht="23.25" customHeight="1" x14ac:dyDescent="0.25">
      <c r="A71" s="776">
        <v>41548</v>
      </c>
      <c r="B71" s="293" t="s">
        <v>425</v>
      </c>
      <c r="C71" s="293" t="s">
        <v>425</v>
      </c>
      <c r="D71" s="293" t="s">
        <v>7</v>
      </c>
      <c r="E71" s="295" t="s">
        <v>17</v>
      </c>
      <c r="F71" s="293" t="s">
        <v>586</v>
      </c>
      <c r="G71" s="646">
        <v>8</v>
      </c>
      <c r="H71" s="293"/>
      <c r="I71" s="293"/>
      <c r="J71" s="646">
        <v>45</v>
      </c>
      <c r="K71" s="646">
        <v>45</v>
      </c>
      <c r="L71" s="646"/>
      <c r="M71" s="646"/>
      <c r="N71" s="646"/>
      <c r="O71" s="293"/>
      <c r="P71" s="208"/>
      <c r="Q71" s="293"/>
      <c r="R71" s="293"/>
      <c r="S71" s="88"/>
      <c r="T71" s="88">
        <v>360</v>
      </c>
      <c r="U71" s="88">
        <f ca="1">IF(Data_Shelter_t[[#This Row],[Status]]="Open",Data_Shelter_t[[#This Row],[HH Covered]],0)</f>
        <v>360</v>
      </c>
      <c r="V71" s="294" t="s">
        <v>588</v>
      </c>
      <c r="W71" s="406" t="str">
        <f ca="1">IFERROR(OFFSET(Camp_List[Status],MATCH(Data_Shelter_t[[#This Row],[Camp Name/ Relocation Sites]],Camp_List[Camp Name],0)-1,0,1,1),"")</f>
        <v>Open</v>
      </c>
      <c r="X71" s="386">
        <f ca="1">IFERROR(Data_Shelter_t[[#This Row],[HH Covered]]/OFFSET(Camp_List[HH],MATCH(Data_Shelter_t[[#This Row],[Camp Name/ Relocation Sites]],Camp_List[Camp Name],0)-1,0,1,1),"")</f>
        <v>0.13493253373313344</v>
      </c>
      <c r="Y71" s="646">
        <f>Data_Shelter_t[[#This Row],['# of Permanent House Planned (Target)]]+Data_Shelter_t[[#This Row],['# of Individual House Planned (Target)]]</f>
        <v>0</v>
      </c>
      <c r="Z71" s="646">
        <f>Data_Shelter_t[[#This Row],['# of Permanent House Built]]+Data_Shelter_t[[#This Row],['# of Individual House Built]]</f>
        <v>0</v>
      </c>
      <c r="AA71" s="38"/>
      <c r="AU71" s="645"/>
    </row>
    <row r="72" spans="1:47" s="5" customFormat="1" ht="21.75" customHeight="1" x14ac:dyDescent="0.25">
      <c r="A72" s="943">
        <v>41548</v>
      </c>
      <c r="B72" s="293" t="s">
        <v>278</v>
      </c>
      <c r="C72" s="293" t="s">
        <v>278</v>
      </c>
      <c r="D72" s="293" t="s">
        <v>7</v>
      </c>
      <c r="E72" s="295" t="s">
        <v>17</v>
      </c>
      <c r="F72" s="293" t="s">
        <v>586</v>
      </c>
      <c r="G72" s="646">
        <v>8</v>
      </c>
      <c r="H72" s="293"/>
      <c r="I72" s="293"/>
      <c r="J72" s="646">
        <v>60</v>
      </c>
      <c r="K72" s="646">
        <v>60</v>
      </c>
      <c r="L72" s="19"/>
      <c r="M72" s="646"/>
      <c r="N72" s="646"/>
      <c r="O72" s="293"/>
      <c r="P72" s="208"/>
      <c r="Q72" s="293"/>
      <c r="R72" s="293"/>
      <c r="S72" s="88"/>
      <c r="T72" s="88">
        <v>480</v>
      </c>
      <c r="U72" s="88">
        <f ca="1">IF(Data_Shelter_t[[#This Row],[Status]]="Open",Data_Shelter_t[[#This Row],[HH Covered]],0)</f>
        <v>480</v>
      </c>
      <c r="V72" s="294" t="s">
        <v>588</v>
      </c>
      <c r="W72" s="406" t="str">
        <f ca="1">IFERROR(OFFSET(Camp_List[Status],MATCH(Data_Shelter_t[[#This Row],[Camp Name/ Relocation Sites]],Camp_List[Camp Name],0)-1,0,1,1),"")</f>
        <v>Open</v>
      </c>
      <c r="X72" s="386">
        <f ca="1">IFERROR(Data_Shelter_t[[#This Row],[HH Covered]]/OFFSET(Camp_List[HH],MATCH(Data_Shelter_t[[#This Row],[Camp Name/ Relocation Sites]],Camp_List[Camp Name],0)-1,0,1,1),"")</f>
        <v>0.17991004497751126</v>
      </c>
      <c r="Y72" s="646">
        <f>Data_Shelter_t[[#This Row],['# of Permanent House Planned (Target)]]+Data_Shelter_t[[#This Row],['# of Individual House Planned (Target)]]</f>
        <v>0</v>
      </c>
      <c r="Z72" s="646">
        <f>Data_Shelter_t[[#This Row],['# of Permanent House Built]]+Data_Shelter_t[[#This Row],['# of Individual House Built]]</f>
        <v>0</v>
      </c>
      <c r="AA72" s="38"/>
      <c r="AU72" s="645"/>
    </row>
    <row r="73" spans="1:47" s="5" customFormat="1" ht="23.25" customHeight="1" x14ac:dyDescent="0.25">
      <c r="A73" s="795">
        <v>41548</v>
      </c>
      <c r="B73" s="294" t="s">
        <v>574</v>
      </c>
      <c r="C73" s="294" t="s">
        <v>574</v>
      </c>
      <c r="D73" s="294" t="s">
        <v>7</v>
      </c>
      <c r="E73" s="306" t="s">
        <v>17</v>
      </c>
      <c r="F73" s="294" t="s">
        <v>586</v>
      </c>
      <c r="G73" s="19">
        <v>8</v>
      </c>
      <c r="H73" s="294"/>
      <c r="I73" s="294"/>
      <c r="J73" s="19">
        <v>115</v>
      </c>
      <c r="K73" s="19">
        <v>115</v>
      </c>
      <c r="L73" s="19"/>
      <c r="M73" s="19"/>
      <c r="N73" s="19"/>
      <c r="O73" s="294"/>
      <c r="P73" s="418"/>
      <c r="Q73" s="294"/>
      <c r="R73" s="294"/>
      <c r="S73" s="88"/>
      <c r="T73" s="88">
        <v>920</v>
      </c>
      <c r="U73" s="88">
        <f ca="1">IF(Data_Shelter_t[[#This Row],[Status]]="Open",Data_Shelter_t[[#This Row],[HH Covered]],0)</f>
        <v>920</v>
      </c>
      <c r="V73" s="294" t="s">
        <v>588</v>
      </c>
      <c r="W73" s="406" t="str">
        <f ca="1">IFERROR(OFFSET(Camp_List[Status],MATCH(Data_Shelter_t[[#This Row],[Camp Name/ Relocation Sites]],Camp_List[Camp Name],0)-1,0,1,1),"")</f>
        <v>Open</v>
      </c>
      <c r="X73" s="386">
        <f ca="1">IFERROR(Data_Shelter_t[[#This Row],[HH Covered]]/OFFSET(Camp_List[HH],MATCH(Data_Shelter_t[[#This Row],[Camp Name/ Relocation Sites]],Camp_List[Camp Name],0)-1,0,1,1),"")</f>
        <v>0.34482758620689657</v>
      </c>
      <c r="Y73" s="646">
        <f>Data_Shelter_t[[#This Row],['# of Permanent House Planned (Target)]]+Data_Shelter_t[[#This Row],['# of Individual House Planned (Target)]]</f>
        <v>0</v>
      </c>
      <c r="Z73" s="646">
        <f>Data_Shelter_t[[#This Row],['# of Permanent House Built]]+Data_Shelter_t[[#This Row],['# of Individual House Built]]</f>
        <v>0</v>
      </c>
      <c r="AA73" s="38"/>
      <c r="AU73" s="645"/>
    </row>
    <row r="74" spans="1:47" s="5" customFormat="1" ht="23.25" customHeight="1" x14ac:dyDescent="0.25">
      <c r="A74" s="401">
        <v>41548</v>
      </c>
      <c r="B74" s="293" t="s">
        <v>270</v>
      </c>
      <c r="C74" s="293" t="s">
        <v>270</v>
      </c>
      <c r="D74" s="293" t="s">
        <v>7</v>
      </c>
      <c r="E74" s="295" t="s">
        <v>17</v>
      </c>
      <c r="F74" s="293" t="s">
        <v>586</v>
      </c>
      <c r="G74" s="26">
        <v>8</v>
      </c>
      <c r="H74" s="293"/>
      <c r="I74" s="293"/>
      <c r="J74" s="19">
        <v>115</v>
      </c>
      <c r="K74" s="646">
        <v>115</v>
      </c>
      <c r="L74" s="646"/>
      <c r="M74" s="646"/>
      <c r="N74" s="646"/>
      <c r="O74" s="293"/>
      <c r="P74" s="208"/>
      <c r="Q74" s="293"/>
      <c r="R74" s="293"/>
      <c r="S74" s="88"/>
      <c r="T74" s="88">
        <v>920</v>
      </c>
      <c r="U74" s="88">
        <f ca="1">IF(Data_Shelter_t[[#This Row],[Status]]="Open",Data_Shelter_t[[#This Row],[HH Covered]],0)</f>
        <v>920</v>
      </c>
      <c r="V74" s="294" t="s">
        <v>588</v>
      </c>
      <c r="W74" s="406" t="str">
        <f ca="1">IFERROR(OFFSET(Camp_List[Status],MATCH(Data_Shelter_t[[#This Row],[Camp Name/ Relocation Sites]],Camp_List[Camp Name],0)-1,0,1,1),"")</f>
        <v>Open</v>
      </c>
      <c r="X74" s="386">
        <f ca="1">IFERROR(Data_Shelter_t[[#This Row],[HH Covered]]/OFFSET(Camp_List[HH],MATCH(Data_Shelter_t[[#This Row],[Camp Name/ Relocation Sites]],Camp_List[Camp Name],0)-1,0,1,1),"")</f>
        <v>0.34482758620689657</v>
      </c>
      <c r="Y74" s="646">
        <f>Data_Shelter_t[[#This Row],['# of Permanent House Planned (Target)]]+Data_Shelter_t[[#This Row],['# of Individual House Planned (Target)]]</f>
        <v>0</v>
      </c>
      <c r="Z74" s="646">
        <f>Data_Shelter_t[[#This Row],['# of Permanent House Built]]+Data_Shelter_t[[#This Row],['# of Individual House Built]]</f>
        <v>0</v>
      </c>
      <c r="AA74" s="38"/>
      <c r="AU74" s="645"/>
    </row>
    <row r="75" spans="1:47" s="5" customFormat="1" ht="23.25" customHeight="1" x14ac:dyDescent="0.25">
      <c r="A75" s="401">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06" t="str">
        <f ca="1">IFERROR(OFFSET(Camp_List[Status],MATCH(Data_Shelter_t[[#This Row],[Camp Name/ Relocation Sites]],Camp_List[Camp Name],0)-1,0,1,1),"")</f>
        <v>Open</v>
      </c>
      <c r="X75" s="386">
        <f ca="1">IFERROR(Data_Shelter_t[[#This Row],[HH Covered]]/OFFSET(Camp_List[HH],MATCH(Data_Shelter_t[[#This Row],[Camp Name/ Relocation Sites]],Camp_List[Camp Name],0)-1,0,1,1),"")</f>
        <v>0.78264718902169106</v>
      </c>
      <c r="Y75" s="646">
        <f>Data_Shelter_t[[#This Row],['# of Permanent House Planned (Target)]]+Data_Shelter_t[[#This Row],['# of Individual House Planned (Target)]]</f>
        <v>0</v>
      </c>
      <c r="Z75" s="646">
        <f>Data_Shelter_t[[#This Row],['# of Permanent House Built]]+Data_Shelter_t[[#This Row],['# of Individual House Built]]</f>
        <v>0</v>
      </c>
      <c r="AA75" s="38"/>
      <c r="AU75" s="645"/>
    </row>
    <row r="76" spans="1:47" s="5" customFormat="1" ht="23.25" customHeight="1" x14ac:dyDescent="0.25">
      <c r="A76" s="401">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06" t="str">
        <f ca="1">IFERROR(OFFSET(Camp_List[Status],MATCH(Data_Shelter_t[[#This Row],[Camp Name/ Relocation Sites]],Camp_List[Camp Name],0)-1,0,1,1),"")</f>
        <v>Open</v>
      </c>
      <c r="X76" s="386">
        <f ca="1">IFERROR(Data_Shelter_t[[#This Row],[HH Covered]]/OFFSET(Camp_List[HH],MATCH(Data_Shelter_t[[#This Row],[Camp Name/ Relocation Sites]],Camp_List[Camp Name],0)-1,0,1,1),"")</f>
        <v>8.8534749889331563E-2</v>
      </c>
      <c r="Y76" s="646">
        <f>Data_Shelter_t[[#This Row],['# of Permanent House Planned (Target)]]+Data_Shelter_t[[#This Row],['# of Individual House Planned (Target)]]</f>
        <v>0</v>
      </c>
      <c r="Z76" s="646">
        <f>Data_Shelter_t[[#This Row],['# of Permanent House Built]]+Data_Shelter_t[[#This Row],['# of Individual House Built]]</f>
        <v>0</v>
      </c>
      <c r="AA76" s="38"/>
      <c r="AU76" s="645"/>
    </row>
    <row r="77" spans="1:47" s="5" customFormat="1" ht="23.25" customHeight="1" x14ac:dyDescent="0.25">
      <c r="A77" s="401">
        <v>41548</v>
      </c>
      <c r="B77" s="293" t="s">
        <v>270</v>
      </c>
      <c r="C77" s="293" t="s">
        <v>270</v>
      </c>
      <c r="D77" s="293" t="s">
        <v>7</v>
      </c>
      <c r="E77" s="295" t="s">
        <v>17</v>
      </c>
      <c r="F77" s="293" t="s">
        <v>587</v>
      </c>
      <c r="G77" s="646">
        <v>8</v>
      </c>
      <c r="H77" s="293"/>
      <c r="I77" s="293"/>
      <c r="J77" s="646">
        <v>35</v>
      </c>
      <c r="K77" s="646">
        <v>35</v>
      </c>
      <c r="L77" s="646"/>
      <c r="M77" s="646"/>
      <c r="N77" s="646"/>
      <c r="O77" s="293"/>
      <c r="P77" s="293"/>
      <c r="Q77" s="293"/>
      <c r="R77" s="293"/>
      <c r="S77" s="88"/>
      <c r="T77" s="88">
        <v>280</v>
      </c>
      <c r="U77" s="88">
        <f ca="1">IF(Data_Shelter_t[[#This Row],[Status]]="Open",Data_Shelter_t[[#This Row],[HH Covered]],0)</f>
        <v>280</v>
      </c>
      <c r="V77" s="294" t="s">
        <v>589</v>
      </c>
      <c r="W77" s="406" t="str">
        <f ca="1">IFERROR(OFFSET(Camp_List[Status],MATCH(Data_Shelter_t[[#This Row],[Camp Name/ Relocation Sites]],Camp_List[Camp Name],0)-1,0,1,1),"")</f>
        <v>Open</v>
      </c>
      <c r="X77" s="386">
        <f ca="1">IFERROR(Data_Shelter_t[[#This Row],[HH Covered]]/OFFSET(Camp_List[HH],MATCH(Data_Shelter_t[[#This Row],[Camp Name/ Relocation Sites]],Camp_List[Camp Name],0)-1,0,1,1),"")</f>
        <v>0.12394864984506419</v>
      </c>
      <c r="Y77" s="646">
        <f>Data_Shelter_t[[#This Row],['# of Permanent House Planned (Target)]]+Data_Shelter_t[[#This Row],['# of Individual House Planned (Target)]]</f>
        <v>0</v>
      </c>
      <c r="Z77" s="646">
        <f>Data_Shelter_t[[#This Row],['# of Permanent House Built]]+Data_Shelter_t[[#This Row],['# of Individual House Built]]</f>
        <v>0</v>
      </c>
      <c r="AA77" s="38"/>
      <c r="AU77" s="645"/>
    </row>
    <row r="78" spans="1:47" s="5" customFormat="1" ht="23.25" customHeight="1" x14ac:dyDescent="0.25">
      <c r="A78" s="401">
        <v>41548</v>
      </c>
      <c r="B78" s="293" t="s">
        <v>273</v>
      </c>
      <c r="C78" s="293" t="s">
        <v>273</v>
      </c>
      <c r="D78" s="293" t="s">
        <v>7</v>
      </c>
      <c r="E78" s="295" t="s">
        <v>17</v>
      </c>
      <c r="F78" s="293" t="s">
        <v>65</v>
      </c>
      <c r="G78" s="646">
        <v>8</v>
      </c>
      <c r="H78" s="293"/>
      <c r="I78" s="293"/>
      <c r="J78" s="646">
        <v>27</v>
      </c>
      <c r="K78" s="646">
        <v>27</v>
      </c>
      <c r="L78" s="646"/>
      <c r="M78" s="646"/>
      <c r="N78" s="646"/>
      <c r="O78" s="293"/>
      <c r="P78" s="293"/>
      <c r="Q78" s="293"/>
      <c r="R78" s="293"/>
      <c r="S78" s="88"/>
      <c r="T78" s="88">
        <v>216</v>
      </c>
      <c r="U78" s="88">
        <f ca="1">IF(Data_Shelter_t[[#This Row],[Status]]="Open",Data_Shelter_t[[#This Row],[HH Covered]],0)</f>
        <v>216</v>
      </c>
      <c r="V78" s="294" t="s">
        <v>151</v>
      </c>
      <c r="W78" s="406" t="str">
        <f ca="1">IFERROR(OFFSET(Camp_List[Status],MATCH(Data_Shelter_t[[#This Row],[Camp Name/ Relocation Sites]],Camp_List[Camp Name],0)-1,0,1,1),"")</f>
        <v>Open</v>
      </c>
      <c r="X78" s="386">
        <f ca="1">IFERROR(Data_Shelter_t[[#This Row],[HH Covered]]/OFFSET(Camp_List[HH],MATCH(Data_Shelter_t[[#This Row],[Camp Name/ Relocation Sites]],Camp_List[Camp Name],0)-1,0,1,1),"")</f>
        <v>7.9911209766925645E-2</v>
      </c>
      <c r="Y78" s="646">
        <f>Data_Shelter_t[[#This Row],['# of Permanent House Planned (Target)]]+Data_Shelter_t[[#This Row],['# of Individual House Planned (Target)]]</f>
        <v>0</v>
      </c>
      <c r="Z78" s="646">
        <f>Data_Shelter_t[[#This Row],['# of Permanent House Built]]+Data_Shelter_t[[#This Row],['# of Individual House Built]]</f>
        <v>0</v>
      </c>
      <c r="AA78" s="38"/>
      <c r="AU78" s="645"/>
    </row>
    <row r="79" spans="1:47" s="5" customFormat="1" ht="23.25" customHeight="1" x14ac:dyDescent="0.25">
      <c r="A79" s="401">
        <v>41548</v>
      </c>
      <c r="B79" s="293" t="s">
        <v>278</v>
      </c>
      <c r="C79" s="293" t="s">
        <v>278</v>
      </c>
      <c r="D79" s="293" t="s">
        <v>7</v>
      </c>
      <c r="E79" s="295" t="s">
        <v>17</v>
      </c>
      <c r="F79" s="293" t="s">
        <v>65</v>
      </c>
      <c r="G79" s="646">
        <v>10</v>
      </c>
      <c r="H79" s="293"/>
      <c r="I79" s="293"/>
      <c r="J79" s="646">
        <v>63</v>
      </c>
      <c r="K79" s="646">
        <v>63</v>
      </c>
      <c r="L79" s="646"/>
      <c r="M79" s="646"/>
      <c r="N79" s="646"/>
      <c r="O79" s="293"/>
      <c r="P79" s="293"/>
      <c r="Q79" s="293"/>
      <c r="R79" s="293"/>
      <c r="S79" s="88"/>
      <c r="T79" s="88">
        <v>630</v>
      </c>
      <c r="U79" s="88">
        <f ca="1">IF(Data_Shelter_t[[#This Row],[Status]]="Open",Data_Shelter_t[[#This Row],[HH Covered]],0)</f>
        <v>630</v>
      </c>
      <c r="V79" s="294" t="s">
        <v>151</v>
      </c>
      <c r="W79" s="406" t="str">
        <f ca="1">IFERROR(OFFSET(Camp_List[Status],MATCH(Data_Shelter_t[[#This Row],[Camp Name/ Relocation Sites]],Camp_List[Camp Name],0)-1,0,1,1),"")</f>
        <v>Open</v>
      </c>
      <c r="X79" s="386">
        <f ca="1">IFERROR(Data_Shelter_t[[#This Row],[HH Covered]]/OFFSET(Camp_List[HH],MATCH(Data_Shelter_t[[#This Row],[Camp Name/ Relocation Sites]],Camp_List[Camp Name],0)-1,0,1,1),"")</f>
        <v>0.23307436182019978</v>
      </c>
      <c r="Y79" s="646">
        <f>Data_Shelter_t[[#This Row],['# of Permanent House Planned (Target)]]+Data_Shelter_t[[#This Row],['# of Individual House Planned (Target)]]</f>
        <v>0</v>
      </c>
      <c r="Z79" s="646">
        <f>Data_Shelter_t[[#This Row],['# of Permanent House Built]]+Data_Shelter_t[[#This Row],['# of Individual House Built]]</f>
        <v>0</v>
      </c>
      <c r="AA79" s="38"/>
      <c r="AU79" s="645"/>
    </row>
    <row r="80" spans="1:47" s="5" customFormat="1" ht="23.25" customHeight="1" x14ac:dyDescent="0.25">
      <c r="A80" s="401">
        <v>41548</v>
      </c>
      <c r="B80" s="293" t="s">
        <v>282</v>
      </c>
      <c r="C80" s="293" t="s">
        <v>282</v>
      </c>
      <c r="D80" s="293" t="s">
        <v>7</v>
      </c>
      <c r="E80" s="295" t="s">
        <v>17</v>
      </c>
      <c r="F80" s="293" t="s">
        <v>65</v>
      </c>
      <c r="G80" s="646">
        <v>8</v>
      </c>
      <c r="H80" s="293"/>
      <c r="I80" s="293"/>
      <c r="J80" s="646">
        <v>40</v>
      </c>
      <c r="K80" s="646">
        <v>40</v>
      </c>
      <c r="L80" s="646"/>
      <c r="M80" s="646"/>
      <c r="N80" s="646"/>
      <c r="O80" s="293"/>
      <c r="P80" s="293"/>
      <c r="Q80" s="293"/>
      <c r="R80" s="293"/>
      <c r="S80" s="88"/>
      <c r="T80" s="88">
        <v>320</v>
      </c>
      <c r="U80" s="88">
        <f ca="1">IF(Data_Shelter_t[[#This Row],[Status]]="Open",Data_Shelter_t[[#This Row],[HH Covered]],0)</f>
        <v>320</v>
      </c>
      <c r="V80" s="294" t="s">
        <v>151</v>
      </c>
      <c r="W80" s="406" t="str">
        <f ca="1">IFERROR(OFFSET(Camp_List[Status],MATCH(Data_Shelter_t[[#This Row],[Camp Name/ Relocation Sites]],Camp_List[Camp Name],0)-1,0,1,1),"")</f>
        <v>Open</v>
      </c>
      <c r="X80" s="386">
        <f ca="1">IFERROR(Data_Shelter_t[[#This Row],[HH Covered]]/OFFSET(Camp_List[HH],MATCH(Data_Shelter_t[[#This Row],[Camp Name/ Relocation Sites]],Camp_List[Camp Name],0)-1,0,1,1),"")</f>
        <v>0.11838697743248243</v>
      </c>
      <c r="Y80" s="646">
        <f>Data_Shelter_t[[#This Row],['# of Permanent House Planned (Target)]]+Data_Shelter_t[[#This Row],['# of Individual House Planned (Target)]]</f>
        <v>0</v>
      </c>
      <c r="Z80" s="646">
        <f>Data_Shelter_t[[#This Row],['# of Permanent House Built]]+Data_Shelter_t[[#This Row],['# of Individual House Built]]</f>
        <v>0</v>
      </c>
      <c r="AA80" s="38"/>
      <c r="AU80" s="645"/>
    </row>
    <row r="81" spans="1:47" s="5" customFormat="1" ht="23.25" customHeight="1" x14ac:dyDescent="0.25">
      <c r="A81" s="401">
        <v>41548</v>
      </c>
      <c r="B81" s="293" t="s">
        <v>279</v>
      </c>
      <c r="C81" s="293" t="s">
        <v>279</v>
      </c>
      <c r="D81" s="293" t="s">
        <v>7</v>
      </c>
      <c r="E81" s="295" t="s">
        <v>17</v>
      </c>
      <c r="F81" s="293" t="s">
        <v>65</v>
      </c>
      <c r="G81" s="26">
        <v>8</v>
      </c>
      <c r="H81" s="293"/>
      <c r="I81" s="293"/>
      <c r="J81" s="26">
        <v>60</v>
      </c>
      <c r="K81" s="26">
        <v>60</v>
      </c>
      <c r="L81" s="646"/>
      <c r="M81" s="26"/>
      <c r="N81" s="26"/>
      <c r="O81" s="293"/>
      <c r="P81" s="293"/>
      <c r="Q81" s="293"/>
      <c r="R81" s="293"/>
      <c r="S81" s="88"/>
      <c r="T81" s="88">
        <v>480</v>
      </c>
      <c r="U81" s="88">
        <f ca="1">IF(Data_Shelter_t[[#This Row],[Status]]="Open",Data_Shelter_t[[#This Row],[HH Covered]],0)</f>
        <v>480</v>
      </c>
      <c r="V81" s="294" t="s">
        <v>151</v>
      </c>
      <c r="W81" s="406" t="str">
        <f ca="1">IFERROR(OFFSET(Camp_List[Status],MATCH(Data_Shelter_t[[#This Row],[Camp Name/ Relocation Sites]],Camp_List[Camp Name],0)-1,0,1,1),"")</f>
        <v>Open</v>
      </c>
      <c r="X81" s="386">
        <f ca="1">IFERROR(Data_Shelter_t[[#This Row],[HH Covered]]/OFFSET(Camp_List[HH],MATCH(Data_Shelter_t[[#This Row],[Camp Name/ Relocation Sites]],Camp_List[Camp Name],0)-1,0,1,1),"")</f>
        <v>0.17758046614872364</v>
      </c>
      <c r="Y81" s="646">
        <f>Data_Shelter_t[[#This Row],['# of Permanent House Planned (Target)]]+Data_Shelter_t[[#This Row],['# of Individual House Planned (Target)]]</f>
        <v>0</v>
      </c>
      <c r="Z81" s="646">
        <f>Data_Shelter_t[[#This Row],['# of Permanent House Built]]+Data_Shelter_t[[#This Row],['# of Individual House Built]]</f>
        <v>0</v>
      </c>
      <c r="AA81" s="38"/>
      <c r="AU81" s="645"/>
    </row>
    <row r="82" spans="1:47" s="5" customFormat="1" ht="23.25" customHeight="1" x14ac:dyDescent="0.25">
      <c r="A82" s="943">
        <v>41548</v>
      </c>
      <c r="B82" s="293" t="s">
        <v>574</v>
      </c>
      <c r="C82" s="293" t="s">
        <v>574</v>
      </c>
      <c r="D82" s="293" t="s">
        <v>7</v>
      </c>
      <c r="E82" s="295" t="s">
        <v>17</v>
      </c>
      <c r="F82" s="293" t="s">
        <v>65</v>
      </c>
      <c r="G82" s="646">
        <v>10</v>
      </c>
      <c r="H82" s="293"/>
      <c r="I82" s="293"/>
      <c r="J82" s="646">
        <v>77</v>
      </c>
      <c r="K82" s="646">
        <v>77</v>
      </c>
      <c r="L82" s="19"/>
      <c r="M82" s="646"/>
      <c r="N82" s="646"/>
      <c r="O82" s="293"/>
      <c r="P82" s="293"/>
      <c r="Q82" s="293"/>
      <c r="R82" s="293"/>
      <c r="S82" s="88"/>
      <c r="T82" s="88">
        <v>770</v>
      </c>
      <c r="U82" s="88">
        <f ca="1">IF(Data_Shelter_t[[#This Row],[Status]]="Open",Data_Shelter_t[[#This Row],[HH Covered]],0)</f>
        <v>770</v>
      </c>
      <c r="V82" s="294" t="s">
        <v>151</v>
      </c>
      <c r="W82" s="406" t="str">
        <f ca="1">IFERROR(OFFSET(Camp_List[Status],MATCH(Data_Shelter_t[[#This Row],[Camp Name/ Relocation Sites]],Camp_List[Camp Name],0)-1,0,1,1),"")</f>
        <v>Open</v>
      </c>
      <c r="X82" s="386">
        <f ca="1">IFERROR(Data_Shelter_t[[#This Row],[HH Covered]]/OFFSET(Camp_List[HH],MATCH(Data_Shelter_t[[#This Row],[Camp Name/ Relocation Sites]],Camp_List[Camp Name],0)-1,0,1,1),"")</f>
        <v>0.28486866444691084</v>
      </c>
      <c r="Y82" s="646">
        <f>Data_Shelter_t[[#This Row],['# of Permanent House Planned (Target)]]+Data_Shelter_t[[#This Row],['# of Individual House Planned (Target)]]</f>
        <v>0</v>
      </c>
      <c r="Z82" s="646">
        <f>Data_Shelter_t[[#This Row],['# of Permanent House Built]]+Data_Shelter_t[[#This Row],['# of Individual House Built]]</f>
        <v>0</v>
      </c>
      <c r="AA82" s="38"/>
      <c r="AU82" s="645"/>
    </row>
    <row r="83" spans="1:47" s="5" customFormat="1" ht="23.25" customHeight="1" x14ac:dyDescent="0.25">
      <c r="A83" s="943">
        <v>41548</v>
      </c>
      <c r="B83" s="293" t="s">
        <v>270</v>
      </c>
      <c r="C83" s="293" t="s">
        <v>270</v>
      </c>
      <c r="D83" s="293" t="s">
        <v>7</v>
      </c>
      <c r="E83" s="295" t="s">
        <v>17</v>
      </c>
      <c r="F83" s="293" t="s">
        <v>65</v>
      </c>
      <c r="G83" s="646">
        <v>8</v>
      </c>
      <c r="H83" s="293"/>
      <c r="I83" s="293"/>
      <c r="J83" s="646">
        <v>33</v>
      </c>
      <c r="K83" s="646">
        <v>33</v>
      </c>
      <c r="L83" s="646"/>
      <c r="M83" s="646"/>
      <c r="N83" s="646"/>
      <c r="O83" s="293"/>
      <c r="P83" s="293"/>
      <c r="Q83" s="293"/>
      <c r="R83" s="293"/>
      <c r="S83" s="88"/>
      <c r="T83" s="88">
        <v>264</v>
      </c>
      <c r="U83" s="88">
        <f ca="1">IF(Data_Shelter_t[[#This Row],[Status]]="Open",Data_Shelter_t[[#This Row],[HH Covered]],0)</f>
        <v>264</v>
      </c>
      <c r="V83" s="294" t="s">
        <v>151</v>
      </c>
      <c r="W83" s="406" t="str">
        <f ca="1">IFERROR(OFFSET(Camp_List[Status],MATCH(Data_Shelter_t[[#This Row],[Camp Name/ Relocation Sites]],Camp_List[Camp Name],0)-1,0,1,1),"")</f>
        <v>Open</v>
      </c>
      <c r="X83" s="386">
        <f ca="1">IFERROR(Data_Shelter_t[[#This Row],[HH Covered]]/OFFSET(Camp_List[HH],MATCH(Data_Shelter_t[[#This Row],[Camp Name/ Relocation Sites]],Camp_List[Camp Name],0)-1,0,1,1),"")</f>
        <v>9.7669256381798006E-2</v>
      </c>
      <c r="Y83" s="646">
        <f>Data_Shelter_t[[#This Row],['# of Permanent House Planned (Target)]]+Data_Shelter_t[[#This Row],['# of Individual House Planned (Target)]]</f>
        <v>0</v>
      </c>
      <c r="Z83" s="646">
        <f>Data_Shelter_t[[#This Row],['# of Permanent House Built]]+Data_Shelter_t[[#This Row],['# of Individual House Built]]</f>
        <v>0</v>
      </c>
      <c r="AA83" s="38"/>
      <c r="AU83" s="645"/>
    </row>
    <row r="84" spans="1:47" s="5" customFormat="1" ht="23.25" customHeight="1" x14ac:dyDescent="0.25">
      <c r="A84" s="943">
        <v>41548</v>
      </c>
      <c r="B84" s="293" t="s">
        <v>273</v>
      </c>
      <c r="C84" s="293" t="s">
        <v>273</v>
      </c>
      <c r="D84" s="293" t="s">
        <v>7</v>
      </c>
      <c r="E84" s="295" t="s">
        <v>13</v>
      </c>
      <c r="F84" s="293" t="s">
        <v>41</v>
      </c>
      <c r="G84" s="646">
        <v>8</v>
      </c>
      <c r="H84" s="293"/>
      <c r="I84" s="293"/>
      <c r="J84" s="646">
        <v>94</v>
      </c>
      <c r="K84" s="646">
        <v>94</v>
      </c>
      <c r="L84" s="646"/>
      <c r="M84" s="646"/>
      <c r="N84" s="646"/>
      <c r="O84" s="293"/>
      <c r="P84" s="293"/>
      <c r="Q84" s="293"/>
      <c r="R84" s="293"/>
      <c r="S84" s="88"/>
      <c r="T84" s="88">
        <f>94*8</f>
        <v>752</v>
      </c>
      <c r="U84" s="88">
        <f ca="1">IF(Data_Shelter_t[[#This Row],[Status]]="Open",Data_Shelter_t[[#This Row],[HH Covered]],0)</f>
        <v>752</v>
      </c>
      <c r="V84" s="294" t="s">
        <v>127</v>
      </c>
      <c r="W84" s="406" t="str">
        <f ca="1">IFERROR(OFFSET(Camp_List[Status],MATCH(Data_Shelter_t[[#This Row],[Camp Name/ Relocation Sites]],Camp_List[Camp Name],0)-1,0,1,1),"")</f>
        <v>Open</v>
      </c>
      <c r="X84" s="386">
        <f ca="1">IFERROR(Data_Shelter_t[[#This Row],[HH Covered]]/OFFSET(Camp_List[HH],MATCH(Data_Shelter_t[[#This Row],[Camp Name/ Relocation Sites]],Camp_List[Camp Name],0)-1,0,1,1),"")</f>
        <v>1.2188006482982172</v>
      </c>
      <c r="Y84" s="646">
        <f>Data_Shelter_t[[#This Row],['# of Permanent House Planned (Target)]]+Data_Shelter_t[[#This Row],['# of Individual House Planned (Target)]]</f>
        <v>0</v>
      </c>
      <c r="Z84" s="646">
        <f>Data_Shelter_t[[#This Row],['# of Permanent House Built]]+Data_Shelter_t[[#This Row],['# of Individual House Built]]</f>
        <v>0</v>
      </c>
      <c r="AA84" s="38"/>
      <c r="AU84" s="645"/>
    </row>
    <row r="85" spans="1:47" s="5" customFormat="1" ht="23.25" customHeight="1" x14ac:dyDescent="0.25">
      <c r="A85" s="401">
        <v>41548</v>
      </c>
      <c r="B85" s="293" t="s">
        <v>270</v>
      </c>
      <c r="C85" s="293" t="s">
        <v>270</v>
      </c>
      <c r="D85" s="293" t="s">
        <v>7</v>
      </c>
      <c r="E85" s="295" t="s">
        <v>814</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06" t="str">
        <f ca="1">IFERROR(OFFSET(Camp_List[Status],MATCH(Data_Shelter_t[[#This Row],[Camp Name/ Relocation Sites]],Camp_List[Camp Name],0)-1,0,1,1),"")</f>
        <v>Open</v>
      </c>
      <c r="X85" s="386">
        <f ca="1">IFERROR(Data_Shelter_t[[#This Row],[HH Covered]]/OFFSET(Camp_List[HH],MATCH(Data_Shelter_t[[#This Row],[Camp Name/ Relocation Sites]],Camp_List[Camp Name],0)-1,0,1,1),"")</f>
        <v>1.0870229007633587</v>
      </c>
      <c r="Y85" s="646">
        <f>Data_Shelter_t[[#This Row],['# of Permanent House Planned (Target)]]+Data_Shelter_t[[#This Row],['# of Individual House Planned (Target)]]</f>
        <v>0</v>
      </c>
      <c r="Z85" s="646">
        <f>Data_Shelter_t[[#This Row],['# of Permanent House Built]]+Data_Shelter_t[[#This Row],['# of Individual House Built]]</f>
        <v>0</v>
      </c>
      <c r="AA85" s="38"/>
      <c r="AU85" s="645"/>
    </row>
    <row r="86" spans="1:47" s="5" customFormat="1" ht="23.25" customHeight="1" x14ac:dyDescent="0.25">
      <c r="A86" s="401">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06" t="str">
        <f ca="1">IFERROR(OFFSET(Camp_List[Status],MATCH(Data_Shelter_t[[#This Row],[Camp Name/ Relocation Sites]],Camp_List[Camp Name],0)-1,0,1,1),"")</f>
        <v>Open</v>
      </c>
      <c r="X86" s="386">
        <f ca="1">IFERROR(Data_Shelter_t[[#This Row],[HH Covered]]/OFFSET(Camp_List[HH],MATCH(Data_Shelter_t[[#This Row],[Camp Name/ Relocation Sites]],Camp_List[Camp Name],0)-1,0,1,1),"")</f>
        <v>0.51376146788990829</v>
      </c>
      <c r="Y86" s="646">
        <f>Data_Shelter_t[[#This Row],['# of Permanent House Planned (Target)]]+Data_Shelter_t[[#This Row],['# of Individual House Planned (Target)]]</f>
        <v>0</v>
      </c>
      <c r="Z86" s="646">
        <f>Data_Shelter_t[[#This Row],['# of Permanent House Built]]+Data_Shelter_t[[#This Row],['# of Individual House Built]]</f>
        <v>0</v>
      </c>
      <c r="AA86" s="38"/>
      <c r="AU86" s="645"/>
    </row>
    <row r="87" spans="1:47" s="5" customFormat="1" ht="23.25" customHeight="1" x14ac:dyDescent="0.25">
      <c r="A87" s="943">
        <v>41548</v>
      </c>
      <c r="B87" s="293" t="s">
        <v>278</v>
      </c>
      <c r="C87" s="293" t="s">
        <v>278</v>
      </c>
      <c r="D87" s="293" t="s">
        <v>7</v>
      </c>
      <c r="E87" s="295" t="s">
        <v>17</v>
      </c>
      <c r="F87" s="293" t="s">
        <v>68</v>
      </c>
      <c r="G87" s="646">
        <v>8</v>
      </c>
      <c r="H87" s="293"/>
      <c r="I87" s="293"/>
      <c r="J87" s="646">
        <v>60</v>
      </c>
      <c r="K87" s="646">
        <v>60</v>
      </c>
      <c r="L87" s="646"/>
      <c r="M87" s="646"/>
      <c r="N87" s="646"/>
      <c r="O87" s="293"/>
      <c r="P87" s="293"/>
      <c r="Q87" s="293"/>
      <c r="R87" s="293"/>
      <c r="S87" s="88"/>
      <c r="T87" s="88">
        <v>480</v>
      </c>
      <c r="U87" s="88">
        <f ca="1">IF(Data_Shelter_t[[#This Row],[Status]]="Open",Data_Shelter_t[[#This Row],[HH Covered]],0)</f>
        <v>480</v>
      </c>
      <c r="V87" s="294" t="s">
        <v>154</v>
      </c>
      <c r="W87" s="406" t="str">
        <f ca="1">IFERROR(OFFSET(Camp_List[Status],MATCH(Data_Shelter_t[[#This Row],[Camp Name/ Relocation Sites]],Camp_List[Camp Name],0)-1,0,1,1),"")</f>
        <v>Open</v>
      </c>
      <c r="X87" s="386">
        <f ca="1">IFERROR(Data_Shelter_t[[#This Row],[HH Covered]]/OFFSET(Camp_List[HH],MATCH(Data_Shelter_t[[#This Row],[Camp Name/ Relocation Sites]],Camp_List[Camp Name],0)-1,0,1,1),"")</f>
        <v>0.4892966360856269</v>
      </c>
      <c r="Y87" s="646">
        <f>Data_Shelter_t[[#This Row],['# of Permanent House Planned (Target)]]+Data_Shelter_t[[#This Row],['# of Individual House Planned (Target)]]</f>
        <v>0</v>
      </c>
      <c r="Z87" s="646">
        <f>Data_Shelter_t[[#This Row],['# of Permanent House Built]]+Data_Shelter_t[[#This Row],['# of Individual House Built]]</f>
        <v>0</v>
      </c>
      <c r="AA87" s="38"/>
      <c r="AU87" s="645"/>
    </row>
    <row r="88" spans="1:47" s="5" customFormat="1" ht="23.25" customHeight="1" x14ac:dyDescent="0.25">
      <c r="A88" s="401">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06" t="str">
        <f ca="1">IFERROR(OFFSET(Camp_List[Status],MATCH(Data_Shelter_t[[#This Row],[Camp Name/ Relocation Sites]],Camp_List[Camp Name],0)-1,0,1,1),"")</f>
        <v>Open</v>
      </c>
      <c r="X88" s="386">
        <f ca="1">IFERROR(Data_Shelter_t[[#This Row],[HH Covered]]/OFFSET(Camp_List[HH],MATCH(Data_Shelter_t[[#This Row],[Camp Name/ Relocation Sites]],Camp_List[Camp Name],0)-1,0,1,1),"")</f>
        <v>3.1872509960159362E-2</v>
      </c>
      <c r="Y88" s="646">
        <f>Data_Shelter_t[[#This Row],['# of Permanent House Planned (Target)]]+Data_Shelter_t[[#This Row],['# of Individual House Planned (Target)]]</f>
        <v>0</v>
      </c>
      <c r="Z88" s="646">
        <f>Data_Shelter_t[[#This Row],['# of Permanent House Built]]+Data_Shelter_t[[#This Row],['# of Individual House Built]]</f>
        <v>0</v>
      </c>
      <c r="AA88" s="38"/>
      <c r="AU88" s="645"/>
    </row>
    <row r="89" spans="1:47" s="5" customFormat="1" ht="23.25" customHeight="1" x14ac:dyDescent="0.25">
      <c r="A89" s="795">
        <v>41548</v>
      </c>
      <c r="B89" s="294" t="s">
        <v>1074</v>
      </c>
      <c r="C89" s="294" t="s">
        <v>1074</v>
      </c>
      <c r="D89" s="294" t="s">
        <v>7</v>
      </c>
      <c r="E89" s="306" t="s">
        <v>13</v>
      </c>
      <c r="F89" s="294" t="s">
        <v>981</v>
      </c>
      <c r="G89" s="19">
        <v>1</v>
      </c>
      <c r="H89" s="294"/>
      <c r="I89" s="294"/>
      <c r="J89" s="19"/>
      <c r="K89" s="19"/>
      <c r="L89" s="19"/>
      <c r="M89" s="19"/>
      <c r="N89" s="19"/>
      <c r="O89" s="294"/>
      <c r="P89" s="294"/>
      <c r="Q89" s="754">
        <v>891</v>
      </c>
      <c r="R89" s="775">
        <v>891</v>
      </c>
      <c r="S89" s="384"/>
      <c r="T89" s="384">
        <v>891</v>
      </c>
      <c r="U89" s="384">
        <f ca="1">IF(Data_Shelter_t[[#This Row],[Status]]="Open",Data_Shelter_t[[#This Row],[HH Covered]],0)</f>
        <v>891</v>
      </c>
      <c r="V89" s="384" t="s">
        <v>125</v>
      </c>
      <c r="W89" s="385" t="str">
        <f ca="1">IFERROR(OFFSET(Camp_List[Status],MATCH(Data_Shelter_t[[#This Row],[Camp Name/ Relocation Sites]],Camp_List[Camp Name],0)-1,0,1,1),"")</f>
        <v>Open</v>
      </c>
      <c r="X89" s="386">
        <f ca="1">IFERROR(Data_Shelter_t[[#This Row],[HH Covered]]/OFFSET(Camp_List[HH],MATCH(Data_Shelter_t[[#This Row],[Camp Name/ Relocation Sites]],Camp_List[Camp Name],0)-1,0,1,1),"")</f>
        <v>0.88217821782178218</v>
      </c>
      <c r="Y89" s="384">
        <f>Data_Shelter_t[[#This Row],['# of Permanent House Planned (Target)]]+Data_Shelter_t[[#This Row],['# of Individual House Planned (Target)]]</f>
        <v>891</v>
      </c>
      <c r="Z89" s="384">
        <f>Data_Shelter_t[[#This Row],['# of Permanent House Built]]+Data_Shelter_t[[#This Row],['# of Individual House Built]]</f>
        <v>891</v>
      </c>
      <c r="AA89" s="16"/>
    </row>
    <row r="90" spans="1:47" s="5" customFormat="1" ht="23.25" customHeight="1" x14ac:dyDescent="0.25">
      <c r="A90" s="776">
        <v>41548</v>
      </c>
      <c r="B90" s="293" t="s">
        <v>270</v>
      </c>
      <c r="C90" s="293" t="s">
        <v>270</v>
      </c>
      <c r="D90" s="293" t="s">
        <v>7</v>
      </c>
      <c r="E90" s="295" t="s">
        <v>13</v>
      </c>
      <c r="F90" s="293" t="s">
        <v>982</v>
      </c>
      <c r="G90" s="646">
        <v>8</v>
      </c>
      <c r="H90" s="777"/>
      <c r="I90" s="293"/>
      <c r="J90" s="646">
        <v>87</v>
      </c>
      <c r="K90" s="646">
        <v>87</v>
      </c>
      <c r="L90" s="646"/>
      <c r="M90" s="646"/>
      <c r="N90" s="646"/>
      <c r="O90" s="293"/>
      <c r="P90" s="293"/>
      <c r="Q90" s="293"/>
      <c r="R90" s="293"/>
      <c r="S90" s="88"/>
      <c r="T90" s="88">
        <f>87*8</f>
        <v>696</v>
      </c>
      <c r="U90" s="384">
        <f ca="1">IF(Data_Shelter_t[[#This Row],[Status]]="Open",Data_Shelter_t[[#This Row],[HH Covered]],0)</f>
        <v>696</v>
      </c>
      <c r="V90" s="384" t="s">
        <v>125</v>
      </c>
      <c r="W90" s="385" t="str">
        <f ca="1">IFERROR(OFFSET(Camp_List[Status],MATCH(Data_Shelter_t[[#This Row],[Camp Name/ Relocation Sites]],Camp_List[Camp Name],0)-1,0,1,1),"")</f>
        <v>Open</v>
      </c>
      <c r="X90" s="386">
        <f ca="1">IFERROR(Data_Shelter_t[[#This Row],[HH Covered]]/OFFSET(Camp_List[HH],MATCH(Data_Shelter_t[[#This Row],[Camp Name/ Relocation Sites]],Camp_List[Camp Name],0)-1,0,1,1),"")</f>
        <v>0.76906077348066293</v>
      </c>
      <c r="Y90" s="384">
        <f>Data_Shelter_t[[#This Row],['# of Permanent House Planned (Target)]]+Data_Shelter_t[[#This Row],['# of Individual House Planned (Target)]]</f>
        <v>0</v>
      </c>
      <c r="Z90" s="384">
        <f>Data_Shelter_t[[#This Row],['# of Permanent House Built]]+Data_Shelter_t[[#This Row],['# of Individual House Built]]</f>
        <v>0</v>
      </c>
      <c r="AA90" s="38"/>
      <c r="AU90" s="645"/>
    </row>
    <row r="91" spans="1:47" s="5" customFormat="1" ht="23.25" customHeight="1" x14ac:dyDescent="0.25">
      <c r="A91" s="943">
        <v>41548</v>
      </c>
      <c r="B91" s="293" t="s">
        <v>278</v>
      </c>
      <c r="C91" s="293" t="s">
        <v>278</v>
      </c>
      <c r="D91" s="293" t="s">
        <v>7</v>
      </c>
      <c r="E91" s="295" t="s">
        <v>17</v>
      </c>
      <c r="F91" s="293" t="s">
        <v>74</v>
      </c>
      <c r="G91" s="646">
        <v>1</v>
      </c>
      <c r="H91" s="293"/>
      <c r="I91" s="293"/>
      <c r="J91" s="646"/>
      <c r="K91" s="646"/>
      <c r="L91" s="646"/>
      <c r="M91" s="646"/>
      <c r="N91" s="646"/>
      <c r="O91" s="293"/>
      <c r="P91" s="293"/>
      <c r="Q91" s="208">
        <v>151</v>
      </c>
      <c r="R91" s="208">
        <v>151</v>
      </c>
      <c r="S91" s="208"/>
      <c r="T91" s="88">
        <v>151</v>
      </c>
      <c r="U91" s="88">
        <f ca="1">IF(Data_Shelter_t[[#This Row],[Status]]="Open",Data_Shelter_t[[#This Row],[HH Covered]],0)</f>
        <v>0</v>
      </c>
      <c r="V91" s="294" t="s">
        <v>269</v>
      </c>
      <c r="W91" s="406" t="str">
        <f ca="1">IFERROR(OFFSET(Camp_List[Status],MATCH(Data_Shelter_t[[#This Row],[Camp Name/ Relocation Sites]],Camp_List[Camp Name],0)-1,0,1,1),"")</f>
        <v>Relocated</v>
      </c>
      <c r="X91" s="386">
        <f ca="1">IFERROR(Data_Shelter_t[[#This Row],[HH Covered]]/OFFSET(Camp_List[HH],MATCH(Data_Shelter_t[[#This Row],[Camp Name/ Relocation Sites]],Camp_List[Camp Name],0)-1,0,1,1),"")</f>
        <v>1</v>
      </c>
      <c r="Y91" s="646">
        <f>Data_Shelter_t[[#This Row],['# of Permanent House Planned (Target)]]+Data_Shelter_t[[#This Row],['# of Individual House Planned (Target)]]</f>
        <v>151</v>
      </c>
      <c r="Z91" s="646">
        <f>Data_Shelter_t[[#This Row],['# of Permanent House Built]]+Data_Shelter_t[[#This Row],['# of Individual House Built]]</f>
        <v>151</v>
      </c>
      <c r="AA91" s="38"/>
      <c r="AU91" s="645"/>
    </row>
    <row r="92" spans="1:47" s="5" customFormat="1" ht="23.25" customHeight="1" x14ac:dyDescent="0.25">
      <c r="A92" s="943">
        <v>41548</v>
      </c>
      <c r="B92" s="293" t="s">
        <v>278</v>
      </c>
      <c r="C92" s="293" t="s">
        <v>278</v>
      </c>
      <c r="D92" s="293" t="s">
        <v>7</v>
      </c>
      <c r="E92" s="295" t="s">
        <v>13</v>
      </c>
      <c r="F92" s="293" t="s">
        <v>37</v>
      </c>
      <c r="G92" s="646">
        <v>1</v>
      </c>
      <c r="H92" s="293"/>
      <c r="I92" s="293"/>
      <c r="J92" s="646"/>
      <c r="K92" s="646"/>
      <c r="L92" s="646"/>
      <c r="M92" s="646"/>
      <c r="N92" s="646"/>
      <c r="O92" s="293"/>
      <c r="P92" s="293"/>
      <c r="Q92" s="208">
        <v>21</v>
      </c>
      <c r="R92" s="208">
        <v>21</v>
      </c>
      <c r="S92" s="208"/>
      <c r="T92" s="88">
        <v>21</v>
      </c>
      <c r="U92" s="208">
        <v>21</v>
      </c>
      <c r="V92" s="294" t="s">
        <v>123</v>
      </c>
      <c r="W92" s="406" t="str">
        <f ca="1">IFERROR(OFFSET(Camp_List[Status],MATCH(Data_Shelter_t[[#This Row],[Camp Name/ Relocation Sites]],Camp_List[Camp Name],0)-1,0,1,1),"")</f>
        <v>Relocated</v>
      </c>
      <c r="X92" s="386">
        <f ca="1">IFERROR(Data_Shelter_t[[#This Row],[HH Covered]]/OFFSET(Camp_List[HH],MATCH(Data_Shelter_t[[#This Row],[Camp Name/ Relocation Sites]],Camp_List[Camp Name],0)-1,0,1,1),"")</f>
        <v>1</v>
      </c>
      <c r="Y92" s="646">
        <f>Data_Shelter_t[[#This Row],['# of Permanent House Planned (Target)]]+Data_Shelter_t[[#This Row],['# of Individual House Planned (Target)]]</f>
        <v>21</v>
      </c>
      <c r="Z92" s="19">
        <f>Data_Shelter_t[[#This Row],['# of Permanent House Built]]+Data_Shelter_t[[#This Row],['# of Individual House Built]]</f>
        <v>21</v>
      </c>
      <c r="AA92" s="38"/>
      <c r="AU92" s="645"/>
    </row>
    <row r="93" spans="1:47" s="5" customFormat="1" ht="23.25" customHeight="1" x14ac:dyDescent="0.25">
      <c r="A93" s="401">
        <v>41548</v>
      </c>
      <c r="B93" s="293" t="s">
        <v>278</v>
      </c>
      <c r="C93" s="293" t="s">
        <v>278</v>
      </c>
      <c r="D93" s="293" t="s">
        <v>7</v>
      </c>
      <c r="E93" s="295" t="s">
        <v>17</v>
      </c>
      <c r="F93" s="293" t="s">
        <v>590</v>
      </c>
      <c r="G93" s="26">
        <v>1</v>
      </c>
      <c r="H93" s="293"/>
      <c r="I93" s="293"/>
      <c r="J93" s="646"/>
      <c r="K93" s="26"/>
      <c r="L93" s="26"/>
      <c r="M93" s="26"/>
      <c r="N93" s="26"/>
      <c r="O93" s="293"/>
      <c r="P93" s="293"/>
      <c r="Q93" s="208">
        <v>249</v>
      </c>
      <c r="R93" s="208">
        <v>249</v>
      </c>
      <c r="S93" s="208"/>
      <c r="T93" s="88">
        <v>249</v>
      </c>
      <c r="U93" s="88">
        <f ca="1">IF(Data_Shelter_t[[#This Row],[Status]]="Open",Data_Shelter_t[[#This Row],[HH Covered]],0)</f>
        <v>0</v>
      </c>
      <c r="V93" s="294" t="s">
        <v>592</v>
      </c>
      <c r="W93" s="406" t="str">
        <f ca="1">IFERROR(OFFSET(Camp_List[Status],MATCH(Data_Shelter_t[[#This Row],[Camp Name/ Relocation Sites]],Camp_List[Camp Name],0)-1,0,1,1),"")</f>
        <v>Relocated</v>
      </c>
      <c r="X93" s="386">
        <f ca="1">IFERROR(Data_Shelter_t[[#This Row],[HH Covered]]/OFFSET(Camp_List[HH],MATCH(Data_Shelter_t[[#This Row],[Camp Name/ Relocation Sites]],Camp_List[Camp Name],0)-1,0,1,1),"")</f>
        <v>1</v>
      </c>
      <c r="Y93" s="646">
        <f>Data_Shelter_t[[#This Row],['# of Permanent House Planned (Target)]]+Data_Shelter_t[[#This Row],['# of Individual House Planned (Target)]]</f>
        <v>249</v>
      </c>
      <c r="Z93" s="19">
        <f>Data_Shelter_t[[#This Row],['# of Permanent House Built]]+Data_Shelter_t[[#This Row],['# of Individual House Built]]</f>
        <v>249</v>
      </c>
      <c r="AA93" s="38"/>
      <c r="AU93" s="645"/>
    </row>
    <row r="94" spans="1:47" s="5" customFormat="1" ht="23.25" customHeight="1" x14ac:dyDescent="0.25">
      <c r="A94" s="401">
        <v>41548</v>
      </c>
      <c r="B94" s="293" t="s">
        <v>278</v>
      </c>
      <c r="C94" s="293" t="s">
        <v>278</v>
      </c>
      <c r="D94" s="293" t="s">
        <v>7</v>
      </c>
      <c r="E94" s="295" t="s">
        <v>17</v>
      </c>
      <c r="F94" s="293" t="s">
        <v>591</v>
      </c>
      <c r="G94" s="26">
        <v>1</v>
      </c>
      <c r="H94" s="293"/>
      <c r="I94" s="293"/>
      <c r="J94" s="646"/>
      <c r="K94" s="26"/>
      <c r="L94" s="26"/>
      <c r="M94" s="26"/>
      <c r="N94" s="26"/>
      <c r="O94" s="293"/>
      <c r="P94" s="293"/>
      <c r="Q94" s="208">
        <v>420</v>
      </c>
      <c r="R94" s="208">
        <v>420</v>
      </c>
      <c r="S94" s="208"/>
      <c r="T94" s="88">
        <v>420</v>
      </c>
      <c r="U94" s="88">
        <f ca="1">IF(Data_Shelter_t[[#This Row],[Status]]="Open",Data_Shelter_t[[#This Row],[HH Covered]],0)</f>
        <v>0</v>
      </c>
      <c r="V94" s="294" t="s">
        <v>593</v>
      </c>
      <c r="W94" s="406" t="str">
        <f ca="1">IFERROR(OFFSET(Camp_List[Status],MATCH(Data_Shelter_t[[#This Row],[Camp Name/ Relocation Sites]],Camp_List[Camp Name],0)-1,0,1,1),"")</f>
        <v>Relocated</v>
      </c>
      <c r="X94" s="386">
        <f ca="1">IFERROR(Data_Shelter_t[[#This Row],[HH Covered]]/OFFSET(Camp_List[HH],MATCH(Data_Shelter_t[[#This Row],[Camp Name/ Relocation Sites]],Camp_List[Camp Name],0)-1,0,1,1),"")</f>
        <v>1</v>
      </c>
      <c r="Y94" s="646">
        <f>Data_Shelter_t[[#This Row],['# of Permanent House Planned (Target)]]+Data_Shelter_t[[#This Row],['# of Individual House Planned (Target)]]</f>
        <v>420</v>
      </c>
      <c r="Z94" s="19">
        <f>Data_Shelter_t[[#This Row],['# of Permanent House Built]]+Data_Shelter_t[[#This Row],['# of Individual House Built]]</f>
        <v>420</v>
      </c>
      <c r="AA94" s="38"/>
      <c r="AU94" s="645"/>
    </row>
    <row r="95" spans="1:47" s="5" customFormat="1" x14ac:dyDescent="0.25">
      <c r="A95" s="403" t="s">
        <v>5</v>
      </c>
      <c r="B95" s="92"/>
      <c r="C95" s="92"/>
      <c r="D95" s="92"/>
      <c r="E95" s="404"/>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3">
        <f>SUBTOTAL(109,Data_Shelter_t['# of Individual House Built])</f>
        <v>5212</v>
      </c>
      <c r="S95" s="383">
        <f>SUBTOTAL(109,Data_Shelter_t['#of Individual House Under Construction])</f>
        <v>0</v>
      </c>
      <c r="T95" s="383">
        <f>SUBTOTAL(109,Data_Shelter_t[HH Covered])</f>
        <v>28765</v>
      </c>
      <c r="U95" s="383">
        <f ca="1">SUBTOTAL(109,Data_Shelter_t[HH Covered 2])</f>
        <v>22927</v>
      </c>
      <c r="V95" s="402"/>
      <c r="W95" s="396"/>
      <c r="X95" s="92"/>
      <c r="Y95" s="402">
        <f>SUBTOTAL(109,Data_Shelter_t[Plan])</f>
        <v>5362</v>
      </c>
      <c r="Z95" s="19">
        <f>SUBTOTAL(109,Data_Shelter_t[Built])</f>
        <v>5362</v>
      </c>
      <c r="AA95" s="172"/>
      <c r="AU95" s="645"/>
    </row>
    <row r="96" spans="1:47" s="5" customFormat="1" x14ac:dyDescent="0.25">
      <c r="A96" s="192"/>
      <c r="E96" s="64"/>
      <c r="X96" s="193"/>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628" priority="19" operator="containsText" text="close">
      <formula>NOT(ISERROR(SEARCH("close",V94)))</formula>
    </cfRule>
    <cfRule type="containsText" dxfId="627" priority="20" operator="containsText" text="open">
      <formula>NOT(ISERROR(SEARCH("open",V94)))</formula>
    </cfRule>
  </conditionalFormatting>
  <conditionalFormatting sqref="V4">
    <cfRule type="containsText" dxfId="626" priority="17" operator="containsText" text="close">
      <formula>NOT(ISERROR(SEARCH("close",V4)))</formula>
    </cfRule>
    <cfRule type="containsText" dxfId="625" priority="18" operator="containsText" text="open">
      <formula>NOT(ISERROR(SEARCH("open",V4)))</formula>
    </cfRule>
  </conditionalFormatting>
  <conditionalFormatting sqref="W4">
    <cfRule type="containsText" dxfId="624" priority="15" operator="containsText" text="close">
      <formula>NOT(ISERROR(SEARCH("close",W4)))</formula>
    </cfRule>
    <cfRule type="containsText" dxfId="623"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1"/>
  <sheetViews>
    <sheetView workbookViewId="0">
      <selection activeCell="D18" sqref="D18"/>
    </sheetView>
  </sheetViews>
  <sheetFormatPr defaultRowHeight="15" x14ac:dyDescent="0.25"/>
  <cols>
    <col min="1" max="1" width="9.140625" style="645"/>
    <col min="2" max="2" width="12.28515625" style="645" customWidth="1"/>
    <col min="3" max="3" width="18.85546875" style="645" customWidth="1"/>
    <col min="4" max="4" width="11.5703125" style="645" customWidth="1"/>
    <col min="5" max="6" width="12.5703125" style="645" customWidth="1"/>
    <col min="7" max="7" width="6.7109375" style="645" customWidth="1"/>
    <col min="8" max="8" width="20.5703125" customWidth="1"/>
    <col min="9" max="9" width="24" customWidth="1"/>
    <col min="10" max="10" width="22.7109375" customWidth="1"/>
    <col min="11" max="11" width="16.28515625" customWidth="1"/>
    <col min="12" max="12" width="13.28515625" customWidth="1"/>
    <col min="13" max="13" width="10.5703125" bestFit="1" customWidth="1"/>
    <col min="14" max="14" width="15.85546875" customWidth="1"/>
    <col min="15" max="15" width="17.85546875" customWidth="1"/>
  </cols>
  <sheetData>
    <row r="1" spans="1:15" ht="18" customHeight="1" x14ac:dyDescent="0.25">
      <c r="A1" s="1169" t="s">
        <v>1154</v>
      </c>
      <c r="B1" s="1169"/>
      <c r="C1" s="1169"/>
      <c r="D1" s="1169"/>
      <c r="E1" s="1169"/>
      <c r="F1" s="1169"/>
      <c r="H1" s="1171" t="s">
        <v>1</v>
      </c>
      <c r="I1" s="1171" t="s">
        <v>1058</v>
      </c>
      <c r="J1" s="1172" t="s">
        <v>1138</v>
      </c>
      <c r="K1" s="1173"/>
      <c r="L1" s="1177" t="s">
        <v>1155</v>
      </c>
      <c r="M1" s="1178"/>
      <c r="N1" s="1178"/>
      <c r="O1" s="1179"/>
    </row>
    <row r="2" spans="1:15" ht="21" customHeight="1" x14ac:dyDescent="0.25">
      <c r="A2" s="1170"/>
      <c r="B2" s="1170"/>
      <c r="C2" s="1170"/>
      <c r="D2" s="1170"/>
      <c r="E2" s="1170"/>
      <c r="F2" s="1170"/>
      <c r="H2" s="1171"/>
      <c r="I2" s="1171"/>
      <c r="J2" s="1174"/>
      <c r="K2" s="1175"/>
      <c r="L2" s="1176" t="s">
        <v>1059</v>
      </c>
      <c r="M2" s="1176"/>
      <c r="N2" s="1176"/>
      <c r="O2" s="1176"/>
    </row>
    <row r="3" spans="1:15" x14ac:dyDescent="0.25">
      <c r="A3" s="1089" t="s">
        <v>1151</v>
      </c>
      <c r="B3" s="1090" t="s">
        <v>1</v>
      </c>
      <c r="C3" s="1090" t="s">
        <v>9</v>
      </c>
      <c r="D3" s="1090" t="s">
        <v>1053</v>
      </c>
      <c r="E3" s="1088" t="s">
        <v>1060</v>
      </c>
      <c r="F3" s="1088" t="s">
        <v>1061</v>
      </c>
      <c r="H3" s="1171"/>
      <c r="I3" s="1171"/>
      <c r="J3" s="772" t="s">
        <v>1060</v>
      </c>
      <c r="K3" s="772" t="s">
        <v>1061</v>
      </c>
      <c r="L3" s="924" t="s">
        <v>1060</v>
      </c>
      <c r="M3" s="924" t="s">
        <v>1061</v>
      </c>
      <c r="N3" s="924" t="s">
        <v>1139</v>
      </c>
      <c r="O3" s="924" t="s">
        <v>1142</v>
      </c>
    </row>
    <row r="4" spans="1:15" ht="15.75" x14ac:dyDescent="0.25">
      <c r="A4" s="167">
        <v>2017</v>
      </c>
      <c r="B4" s="764" t="s">
        <v>17</v>
      </c>
      <c r="C4" s="764" t="s">
        <v>59</v>
      </c>
      <c r="D4" s="764" t="s">
        <v>575</v>
      </c>
      <c r="E4" s="1026">
        <v>9</v>
      </c>
      <c r="F4" s="1026">
        <f>'Shelter Maintenance'!$E4*8</f>
        <v>72</v>
      </c>
      <c r="H4" s="938"/>
      <c r="I4" s="939" t="s">
        <v>1062</v>
      </c>
      <c r="J4" s="940">
        <f>J17+J22+J28</f>
        <v>2196</v>
      </c>
      <c r="K4" s="940">
        <f>K17+K22+K28</f>
        <v>17552</v>
      </c>
      <c r="L4" s="941">
        <f>SUM(J4:K4,L17,L22,L26)</f>
        <v>20903</v>
      </c>
      <c r="M4" s="942">
        <f>SUM(M17,M22,M26)</f>
        <v>8696</v>
      </c>
      <c r="N4" s="942">
        <f>N17+N22+N26</f>
        <v>47828</v>
      </c>
      <c r="O4" s="930">
        <f t="shared" ref="O4:O26" si="0">M4/K4</f>
        <v>0.49544211485870554</v>
      </c>
    </row>
    <row r="5" spans="1:15" x14ac:dyDescent="0.25">
      <c r="A5" s="167">
        <v>2017</v>
      </c>
      <c r="B5" s="764" t="s">
        <v>17</v>
      </c>
      <c r="C5" s="764" t="s">
        <v>59</v>
      </c>
      <c r="D5" s="764" t="s">
        <v>1056</v>
      </c>
      <c r="E5" s="1027">
        <v>43</v>
      </c>
      <c r="F5" s="1026">
        <f>'Shelter Maintenance'!$E5*8</f>
        <v>344</v>
      </c>
      <c r="H5" s="909" t="s">
        <v>17</v>
      </c>
      <c r="I5" s="910" t="s">
        <v>1063</v>
      </c>
      <c r="J5" s="768">
        <v>52</v>
      </c>
      <c r="K5" s="768">
        <f>J5*8</f>
        <v>416</v>
      </c>
      <c r="L5" s="646">
        <f>E4+'Shelter Maintenance'!$E5</f>
        <v>52</v>
      </c>
      <c r="M5" s="646">
        <f>F4+'Shelter Maintenance'!$F5</f>
        <v>416</v>
      </c>
      <c r="N5" s="646">
        <f>M5*5.5</f>
        <v>2288</v>
      </c>
      <c r="O5" s="789">
        <f t="shared" si="0"/>
        <v>1</v>
      </c>
    </row>
    <row r="6" spans="1:15" x14ac:dyDescent="0.25">
      <c r="A6" s="167">
        <v>2017</v>
      </c>
      <c r="B6" s="764" t="s">
        <v>17</v>
      </c>
      <c r="C6" s="764" t="s">
        <v>581</v>
      </c>
      <c r="D6" s="764" t="s">
        <v>1056</v>
      </c>
      <c r="E6" s="1028">
        <v>30</v>
      </c>
      <c r="F6" s="1026">
        <f>'Shelter Maintenance'!$E6*8</f>
        <v>240</v>
      </c>
      <c r="H6" s="909" t="s">
        <v>17</v>
      </c>
      <c r="I6" s="910" t="s">
        <v>1064</v>
      </c>
      <c r="J6" s="768">
        <v>127</v>
      </c>
      <c r="K6" s="768">
        <f>J6*8</f>
        <v>1016</v>
      </c>
      <c r="L6" s="646">
        <f>'Shelter Maintenance'!$E6+E36</f>
        <v>40</v>
      </c>
      <c r="M6" s="646">
        <f>'Shelter Maintenance'!$F6</f>
        <v>240</v>
      </c>
      <c r="N6" s="646">
        <f t="shared" ref="N6:N26" si="1">M6*5.5</f>
        <v>1320</v>
      </c>
      <c r="O6" s="789">
        <f t="shared" si="0"/>
        <v>0.23622047244094488</v>
      </c>
    </row>
    <row r="7" spans="1:15" x14ac:dyDescent="0.25">
      <c r="A7" s="167">
        <v>2017</v>
      </c>
      <c r="B7" s="764" t="s">
        <v>17</v>
      </c>
      <c r="C7" s="764" t="s">
        <v>582</v>
      </c>
      <c r="D7" s="764" t="s">
        <v>1056</v>
      </c>
      <c r="E7" s="1027">
        <v>13</v>
      </c>
      <c r="F7" s="1027">
        <f>'Shelter Maintenance'!$E7*8</f>
        <v>104</v>
      </c>
      <c r="H7" s="909" t="s">
        <v>17</v>
      </c>
      <c r="I7" s="910" t="s">
        <v>1065</v>
      </c>
      <c r="J7" s="768">
        <v>164</v>
      </c>
      <c r="K7" s="768">
        <f>(112*8)+400</f>
        <v>1296</v>
      </c>
      <c r="L7" s="646">
        <f>'Shelter Maintenance'!$E7+E8+E37+E38</f>
        <v>147</v>
      </c>
      <c r="M7" s="646">
        <f>'Shelter Maintenance'!$F7+F8</f>
        <v>952</v>
      </c>
      <c r="N7" s="646">
        <f t="shared" si="1"/>
        <v>5236</v>
      </c>
      <c r="O7" s="789">
        <f t="shared" si="0"/>
        <v>0.73456790123456794</v>
      </c>
    </row>
    <row r="8" spans="1:15" x14ac:dyDescent="0.25">
      <c r="A8" s="167">
        <v>2017</v>
      </c>
      <c r="B8" s="764" t="s">
        <v>17</v>
      </c>
      <c r="C8" s="764" t="s">
        <v>582</v>
      </c>
      <c r="D8" s="764" t="s">
        <v>282</v>
      </c>
      <c r="E8" s="1028">
        <v>106</v>
      </c>
      <c r="F8" s="1028">
        <f>'Shelter Maintenance'!$E8*8</f>
        <v>848</v>
      </c>
      <c r="H8" s="909" t="s">
        <v>17</v>
      </c>
      <c r="I8" s="910" t="s">
        <v>61</v>
      </c>
      <c r="J8" s="768">
        <v>182</v>
      </c>
      <c r="K8" s="768">
        <f t="shared" ref="K8:K15" si="2">J8*8</f>
        <v>1456</v>
      </c>
      <c r="L8" s="646">
        <f>E9+E10+E40+E41</f>
        <v>70</v>
      </c>
      <c r="M8" s="646">
        <f>F9+F10</f>
        <v>432</v>
      </c>
      <c r="N8" s="646">
        <f t="shared" si="1"/>
        <v>2376</v>
      </c>
      <c r="O8" s="789">
        <f t="shared" si="0"/>
        <v>0.2967032967032967</v>
      </c>
    </row>
    <row r="9" spans="1:15" x14ac:dyDescent="0.25">
      <c r="A9" s="167">
        <v>2017</v>
      </c>
      <c r="B9" s="764" t="s">
        <v>17</v>
      </c>
      <c r="C9" s="764" t="s">
        <v>61</v>
      </c>
      <c r="D9" s="764" t="s">
        <v>1056</v>
      </c>
      <c r="E9" s="1027">
        <v>51</v>
      </c>
      <c r="F9" s="1027">
        <f>'Shelter Maintenance'!$E9*8</f>
        <v>408</v>
      </c>
      <c r="H9" s="909" t="s">
        <v>17</v>
      </c>
      <c r="I9" s="910" t="s">
        <v>1066</v>
      </c>
      <c r="J9" s="768">
        <v>50</v>
      </c>
      <c r="K9" s="768">
        <f t="shared" si="2"/>
        <v>400</v>
      </c>
      <c r="L9" s="646">
        <f>E11+E12</f>
        <v>50</v>
      </c>
      <c r="M9" s="646">
        <f>F11+F12</f>
        <v>400</v>
      </c>
      <c r="N9" s="646">
        <f t="shared" si="1"/>
        <v>2200</v>
      </c>
      <c r="O9" s="789">
        <f t="shared" si="0"/>
        <v>1</v>
      </c>
    </row>
    <row r="10" spans="1:15" ht="12.75" customHeight="1" x14ac:dyDescent="0.25">
      <c r="A10" s="167">
        <v>2017</v>
      </c>
      <c r="B10" s="764" t="s">
        <v>17</v>
      </c>
      <c r="C10" s="764" t="s">
        <v>61</v>
      </c>
      <c r="D10" s="764" t="s">
        <v>282</v>
      </c>
      <c r="E10" s="1028">
        <v>3</v>
      </c>
      <c r="F10" s="1028">
        <f>'Shelter Maintenance'!$E10*8</f>
        <v>24</v>
      </c>
      <c r="H10" s="909" t="s">
        <v>17</v>
      </c>
      <c r="I10" s="910" t="s">
        <v>1067</v>
      </c>
      <c r="J10" s="768">
        <v>50</v>
      </c>
      <c r="K10" s="768">
        <f t="shared" si="2"/>
        <v>400</v>
      </c>
      <c r="L10" s="646">
        <f>E13+E14</f>
        <v>50</v>
      </c>
      <c r="M10" s="646">
        <f>F13+F14</f>
        <v>400</v>
      </c>
      <c r="N10" s="646">
        <f t="shared" si="1"/>
        <v>2200</v>
      </c>
      <c r="O10" s="789">
        <f t="shared" si="0"/>
        <v>1</v>
      </c>
    </row>
    <row r="11" spans="1:15" x14ac:dyDescent="0.25">
      <c r="A11" s="167">
        <v>2017</v>
      </c>
      <c r="B11" s="764" t="s">
        <v>17</v>
      </c>
      <c r="C11" s="764" t="s">
        <v>1054</v>
      </c>
      <c r="D11" s="764" t="s">
        <v>575</v>
      </c>
      <c r="E11" s="1027">
        <v>11</v>
      </c>
      <c r="F11" s="1027">
        <f>'Shelter Maintenance'!$E11*8</f>
        <v>88</v>
      </c>
      <c r="H11" s="909" t="s">
        <v>17</v>
      </c>
      <c r="I11" s="910" t="s">
        <v>1068</v>
      </c>
      <c r="J11" s="768">
        <v>82</v>
      </c>
      <c r="K11" s="768">
        <f t="shared" si="2"/>
        <v>656</v>
      </c>
      <c r="L11" s="646">
        <f>E15+E16</f>
        <v>59</v>
      </c>
      <c r="M11" s="646">
        <f>F15+F16</f>
        <v>472</v>
      </c>
      <c r="N11" s="646">
        <f t="shared" si="1"/>
        <v>2596</v>
      </c>
      <c r="O11" s="789">
        <f t="shared" si="0"/>
        <v>0.71951219512195119</v>
      </c>
    </row>
    <row r="12" spans="1:15" x14ac:dyDescent="0.25">
      <c r="A12" s="167">
        <v>2017</v>
      </c>
      <c r="B12" s="764" t="s">
        <v>17</v>
      </c>
      <c r="C12" s="764" t="s">
        <v>1054</v>
      </c>
      <c r="D12" s="764" t="s">
        <v>282</v>
      </c>
      <c r="E12" s="1028">
        <v>39</v>
      </c>
      <c r="F12" s="1028">
        <f>'Shelter Maintenance'!$E12*8</f>
        <v>312</v>
      </c>
      <c r="H12" s="909" t="s">
        <v>17</v>
      </c>
      <c r="I12" s="910" t="s">
        <v>585</v>
      </c>
      <c r="J12" s="768">
        <v>80</v>
      </c>
      <c r="K12" s="768">
        <f t="shared" si="2"/>
        <v>640</v>
      </c>
      <c r="L12" s="646">
        <f>E17+E18</f>
        <v>43</v>
      </c>
      <c r="M12" s="646">
        <f>F17+F18</f>
        <v>344</v>
      </c>
      <c r="N12" s="646">
        <f t="shared" si="1"/>
        <v>1892</v>
      </c>
      <c r="O12" s="789">
        <f t="shared" si="0"/>
        <v>0.53749999999999998</v>
      </c>
    </row>
    <row r="13" spans="1:15" x14ac:dyDescent="0.25">
      <c r="A13" s="167">
        <v>2017</v>
      </c>
      <c r="B13" s="764" t="s">
        <v>17</v>
      </c>
      <c r="C13" s="764" t="s">
        <v>1055</v>
      </c>
      <c r="D13" s="764" t="s">
        <v>575</v>
      </c>
      <c r="E13" s="1027">
        <v>14</v>
      </c>
      <c r="F13" s="1027">
        <f>'Shelter Maintenance'!$E13*8</f>
        <v>112</v>
      </c>
      <c r="H13" s="909" t="s">
        <v>17</v>
      </c>
      <c r="I13" s="910" t="s">
        <v>586</v>
      </c>
      <c r="J13" s="768">
        <v>341</v>
      </c>
      <c r="K13" s="768">
        <f t="shared" si="2"/>
        <v>2728</v>
      </c>
      <c r="L13" s="646">
        <f>E19+E20+E21</f>
        <v>52</v>
      </c>
      <c r="M13" s="646">
        <f>F19+F20+F21</f>
        <v>416</v>
      </c>
      <c r="N13" s="646">
        <f t="shared" si="1"/>
        <v>2288</v>
      </c>
      <c r="O13" s="789">
        <f t="shared" si="0"/>
        <v>0.15249266862170088</v>
      </c>
    </row>
    <row r="14" spans="1:15" x14ac:dyDescent="0.25">
      <c r="A14" s="167">
        <v>2017</v>
      </c>
      <c r="B14" s="764" t="s">
        <v>17</v>
      </c>
      <c r="C14" s="764" t="s">
        <v>1055</v>
      </c>
      <c r="D14" s="764" t="s">
        <v>282</v>
      </c>
      <c r="E14" s="1028">
        <v>36</v>
      </c>
      <c r="F14" s="1028">
        <f>'Shelter Maintenance'!$E14*8</f>
        <v>288</v>
      </c>
      <c r="H14" s="909" t="s">
        <v>17</v>
      </c>
      <c r="I14" s="910" t="s">
        <v>587</v>
      </c>
      <c r="J14" s="768">
        <v>285</v>
      </c>
      <c r="K14" s="768">
        <f t="shared" si="2"/>
        <v>2280</v>
      </c>
      <c r="L14" s="646">
        <f>E22+E23+E39</f>
        <v>113</v>
      </c>
      <c r="M14" s="646">
        <f>F21+F22</f>
        <v>792</v>
      </c>
      <c r="N14" s="646">
        <f t="shared" si="1"/>
        <v>4356</v>
      </c>
      <c r="O14" s="789">
        <f t="shared" si="0"/>
        <v>0.3473684210526316</v>
      </c>
    </row>
    <row r="15" spans="1:15" x14ac:dyDescent="0.25">
      <c r="A15" s="167">
        <v>2017</v>
      </c>
      <c r="B15" s="764" t="s">
        <v>17</v>
      </c>
      <c r="C15" s="764" t="s">
        <v>580</v>
      </c>
      <c r="D15" s="764" t="s">
        <v>904</v>
      </c>
      <c r="E15" s="1027">
        <v>15</v>
      </c>
      <c r="F15" s="1027">
        <f>'Shelter Maintenance'!$E15*8</f>
        <v>120</v>
      </c>
      <c r="H15" s="909" t="s">
        <v>17</v>
      </c>
      <c r="I15" s="911" t="s">
        <v>65</v>
      </c>
      <c r="J15" s="768">
        <v>300</v>
      </c>
      <c r="K15" s="768">
        <f t="shared" si="2"/>
        <v>2400</v>
      </c>
      <c r="L15" s="646">
        <f>E24+E25+E26+E27</f>
        <v>110</v>
      </c>
      <c r="M15" s="646">
        <f>F24+F25+F26+F27</f>
        <v>880</v>
      </c>
      <c r="N15" s="646">
        <f t="shared" si="1"/>
        <v>4840</v>
      </c>
      <c r="O15" s="789">
        <f t="shared" si="0"/>
        <v>0.36666666666666664</v>
      </c>
    </row>
    <row r="16" spans="1:15" x14ac:dyDescent="0.25">
      <c r="A16" s="167">
        <v>2017</v>
      </c>
      <c r="B16" s="764" t="s">
        <v>17</v>
      </c>
      <c r="C16" s="764" t="s">
        <v>580</v>
      </c>
      <c r="D16" s="764" t="s">
        <v>574</v>
      </c>
      <c r="E16" s="1028">
        <v>44</v>
      </c>
      <c r="F16" s="1028">
        <f>'Shelter Maintenance'!$E16*8</f>
        <v>352</v>
      </c>
      <c r="H16" s="909" t="s">
        <v>17</v>
      </c>
      <c r="I16" s="910" t="s">
        <v>1069</v>
      </c>
      <c r="J16" s="768">
        <v>125</v>
      </c>
      <c r="K16" s="768">
        <f>J16*8</f>
        <v>1000</v>
      </c>
      <c r="L16" s="646">
        <f>E33+E34+E35</f>
        <v>104</v>
      </c>
      <c r="M16" s="646">
        <f>F33+F34+F35</f>
        <v>832</v>
      </c>
      <c r="N16" s="646">
        <f t="shared" si="1"/>
        <v>4576</v>
      </c>
      <c r="O16" s="789">
        <f t="shared" si="0"/>
        <v>0.83199999999999996</v>
      </c>
    </row>
    <row r="17" spans="1:15" x14ac:dyDescent="0.25">
      <c r="A17" s="167">
        <v>2017</v>
      </c>
      <c r="B17" s="764" t="s">
        <v>17</v>
      </c>
      <c r="C17" s="764" t="s">
        <v>585</v>
      </c>
      <c r="D17" s="764" t="s">
        <v>273</v>
      </c>
      <c r="E17" s="1027">
        <v>30</v>
      </c>
      <c r="F17" s="1027">
        <f>'Shelter Maintenance'!$E17*8</f>
        <v>240</v>
      </c>
      <c r="H17" s="927"/>
      <c r="I17" s="927"/>
      <c r="J17" s="928">
        <f>SUM(J5:J16)</f>
        <v>1838</v>
      </c>
      <c r="K17" s="928">
        <f>SUM(K5:K16)</f>
        <v>14688</v>
      </c>
      <c r="L17" s="929">
        <f>SUM(L5:L16)</f>
        <v>890</v>
      </c>
      <c r="M17" s="929">
        <f>SUM(M5:M16)</f>
        <v>6576</v>
      </c>
      <c r="N17" s="929">
        <f t="shared" si="1"/>
        <v>36168</v>
      </c>
      <c r="O17" s="930">
        <f t="shared" si="0"/>
        <v>0.44771241830065361</v>
      </c>
    </row>
    <row r="18" spans="1:15" x14ac:dyDescent="0.25">
      <c r="A18" s="167">
        <v>2017</v>
      </c>
      <c r="B18" s="764" t="s">
        <v>17</v>
      </c>
      <c r="C18" s="764" t="s">
        <v>585</v>
      </c>
      <c r="D18" s="764" t="s">
        <v>1056</v>
      </c>
      <c r="E18" s="1028">
        <v>13</v>
      </c>
      <c r="F18" s="1028">
        <f>'Shelter Maintenance'!$E18*8</f>
        <v>104</v>
      </c>
      <c r="H18" s="909" t="s">
        <v>13</v>
      </c>
      <c r="I18" s="910" t="s">
        <v>38</v>
      </c>
      <c r="J18" s="768">
        <v>97</v>
      </c>
      <c r="K18" s="768">
        <f>J18*8</f>
        <v>776</v>
      </c>
      <c r="L18" s="646">
        <f>E29</f>
        <v>81</v>
      </c>
      <c r="M18" s="646">
        <f>F29</f>
        <v>648</v>
      </c>
      <c r="N18" s="646">
        <f t="shared" si="1"/>
        <v>3564</v>
      </c>
      <c r="O18" s="789">
        <f t="shared" si="0"/>
        <v>0.83505154639175261</v>
      </c>
    </row>
    <row r="19" spans="1:15" x14ac:dyDescent="0.25">
      <c r="A19" s="167">
        <v>2017</v>
      </c>
      <c r="B19" s="764" t="s">
        <v>17</v>
      </c>
      <c r="C19" s="764" t="s">
        <v>586</v>
      </c>
      <c r="D19" s="764" t="s">
        <v>1057</v>
      </c>
      <c r="E19" s="1027">
        <v>3</v>
      </c>
      <c r="F19" s="1027">
        <f>'Shelter Maintenance'!$E19*8</f>
        <v>24</v>
      </c>
      <c r="H19" s="909" t="s">
        <v>13</v>
      </c>
      <c r="I19" s="910" t="s">
        <v>40</v>
      </c>
      <c r="J19" s="768">
        <v>80</v>
      </c>
      <c r="K19" s="768">
        <f>J19*8</f>
        <v>640</v>
      </c>
      <c r="L19" s="646">
        <v>0</v>
      </c>
      <c r="M19" s="646">
        <v>0</v>
      </c>
      <c r="N19" s="646">
        <f t="shared" si="1"/>
        <v>0</v>
      </c>
      <c r="O19" s="789">
        <f t="shared" si="0"/>
        <v>0</v>
      </c>
    </row>
    <row r="20" spans="1:15" x14ac:dyDescent="0.25">
      <c r="A20" s="167">
        <v>2017</v>
      </c>
      <c r="B20" s="764" t="s">
        <v>17</v>
      </c>
      <c r="C20" s="764" t="s">
        <v>586</v>
      </c>
      <c r="D20" s="767" t="s">
        <v>282</v>
      </c>
      <c r="E20" s="1028">
        <v>0</v>
      </c>
      <c r="F20" s="1028">
        <f>'Shelter Maintenance'!$E20*8</f>
        <v>0</v>
      </c>
      <c r="H20" s="909" t="s">
        <v>13</v>
      </c>
      <c r="I20" s="910" t="s">
        <v>982</v>
      </c>
      <c r="J20" s="768">
        <v>87</v>
      </c>
      <c r="K20" s="768">
        <f>J20*8</f>
        <v>696</v>
      </c>
      <c r="L20" s="646">
        <f>E30+E31</f>
        <v>87</v>
      </c>
      <c r="M20" s="646">
        <f>F30+F31</f>
        <v>696</v>
      </c>
      <c r="N20" s="646">
        <f t="shared" si="1"/>
        <v>3828</v>
      </c>
      <c r="O20" s="789">
        <f t="shared" si="0"/>
        <v>1</v>
      </c>
    </row>
    <row r="21" spans="1:15" x14ac:dyDescent="0.25">
      <c r="A21" s="167">
        <v>2017</v>
      </c>
      <c r="B21" s="764" t="s">
        <v>17</v>
      </c>
      <c r="C21" s="764" t="s">
        <v>586</v>
      </c>
      <c r="D21" s="764" t="s">
        <v>273</v>
      </c>
      <c r="E21" s="1027">
        <v>49</v>
      </c>
      <c r="F21" s="1027">
        <f>'Shelter Maintenance'!$E21*8</f>
        <v>392</v>
      </c>
      <c r="H21" s="909" t="s">
        <v>13</v>
      </c>
      <c r="I21" s="910" t="s">
        <v>41</v>
      </c>
      <c r="J21" s="768">
        <v>94</v>
      </c>
      <c r="K21" s="768">
        <f>J21*8</f>
        <v>752</v>
      </c>
      <c r="L21" s="646">
        <f>E28</f>
        <v>94</v>
      </c>
      <c r="M21" s="646">
        <f>F28</f>
        <v>752</v>
      </c>
      <c r="N21" s="646">
        <f t="shared" si="1"/>
        <v>4136</v>
      </c>
      <c r="O21" s="789">
        <f t="shared" si="0"/>
        <v>1</v>
      </c>
    </row>
    <row r="22" spans="1:15" x14ac:dyDescent="0.25">
      <c r="A22" s="167">
        <v>2017</v>
      </c>
      <c r="B22" s="764" t="s">
        <v>17</v>
      </c>
      <c r="C22" s="764" t="s">
        <v>587</v>
      </c>
      <c r="D22" s="764" t="s">
        <v>1056</v>
      </c>
      <c r="E22" s="1028">
        <v>50</v>
      </c>
      <c r="F22" s="1028">
        <f>'Shelter Maintenance'!$E22*8</f>
        <v>400</v>
      </c>
      <c r="H22" s="931"/>
      <c r="I22" s="932"/>
      <c r="J22" s="933">
        <f>SUM(J18:J21)</f>
        <v>358</v>
      </c>
      <c r="K22" s="933">
        <f>SUM(K18:K21)</f>
        <v>2864</v>
      </c>
      <c r="L22" s="929">
        <f>SUM(L18:L21)</f>
        <v>262</v>
      </c>
      <c r="M22" s="929">
        <f>SUM(M18:M21)</f>
        <v>2096</v>
      </c>
      <c r="N22" s="929">
        <f t="shared" si="1"/>
        <v>11528</v>
      </c>
      <c r="O22" s="930">
        <f t="shared" si="0"/>
        <v>0.73184357541899436</v>
      </c>
    </row>
    <row r="23" spans="1:15" x14ac:dyDescent="0.25">
      <c r="A23" s="167">
        <v>2017</v>
      </c>
      <c r="B23" s="764" t="s">
        <v>17</v>
      </c>
      <c r="C23" s="764" t="s">
        <v>587</v>
      </c>
      <c r="D23" s="764" t="s">
        <v>282</v>
      </c>
      <c r="E23" s="1027">
        <v>43</v>
      </c>
      <c r="F23" s="1027">
        <f>'Shelter Maintenance'!$E23*8</f>
        <v>344</v>
      </c>
      <c r="H23" s="909" t="s">
        <v>814</v>
      </c>
      <c r="I23" s="910" t="s">
        <v>1070</v>
      </c>
      <c r="J23" s="768">
        <v>89</v>
      </c>
      <c r="K23" s="768">
        <f>J23*8</f>
        <v>712</v>
      </c>
      <c r="L23" s="646">
        <v>0</v>
      </c>
      <c r="M23" s="646">
        <v>0</v>
      </c>
      <c r="N23" s="646">
        <f t="shared" si="1"/>
        <v>0</v>
      </c>
      <c r="O23" s="789">
        <f t="shared" si="0"/>
        <v>0</v>
      </c>
    </row>
    <row r="24" spans="1:15" x14ac:dyDescent="0.25">
      <c r="A24" s="167">
        <v>2017</v>
      </c>
      <c r="B24" s="764" t="s">
        <v>17</v>
      </c>
      <c r="C24" s="764" t="s">
        <v>65</v>
      </c>
      <c r="D24" s="764" t="s">
        <v>1056</v>
      </c>
      <c r="E24" s="1028">
        <v>19</v>
      </c>
      <c r="F24" s="1028">
        <f>'Shelter Maintenance'!$E24*8</f>
        <v>152</v>
      </c>
      <c r="H24" s="909" t="s">
        <v>14</v>
      </c>
      <c r="I24" s="910" t="s">
        <v>45</v>
      </c>
      <c r="J24" s="768">
        <v>9</v>
      </c>
      <c r="K24" s="768">
        <f>J24*8</f>
        <v>72</v>
      </c>
      <c r="L24" s="646">
        <f>E32</f>
        <v>3</v>
      </c>
      <c r="M24" s="646">
        <f>F32</f>
        <v>24</v>
      </c>
      <c r="N24" s="646">
        <f t="shared" si="1"/>
        <v>132</v>
      </c>
      <c r="O24" s="789">
        <f t="shared" si="0"/>
        <v>0.33333333333333331</v>
      </c>
    </row>
    <row r="25" spans="1:15" x14ac:dyDescent="0.25">
      <c r="A25" s="167">
        <v>2017</v>
      </c>
      <c r="B25" s="764" t="s">
        <v>17</v>
      </c>
      <c r="C25" s="764" t="s">
        <v>65</v>
      </c>
      <c r="D25" s="764" t="s">
        <v>1140</v>
      </c>
      <c r="E25" s="1027">
        <v>84</v>
      </c>
      <c r="F25" s="1027">
        <f>'Shelter Maintenance'!$E25*8</f>
        <v>672</v>
      </c>
      <c r="H25" s="909" t="s">
        <v>1071</v>
      </c>
      <c r="I25" s="910" t="s">
        <v>56</v>
      </c>
      <c r="J25" s="768">
        <v>50</v>
      </c>
      <c r="K25" s="768">
        <f>J25*8</f>
        <v>400</v>
      </c>
      <c r="L25" s="646">
        <v>0</v>
      </c>
      <c r="M25" s="646">
        <v>0</v>
      </c>
      <c r="N25" s="646">
        <f t="shared" si="1"/>
        <v>0</v>
      </c>
      <c r="O25" s="789">
        <f t="shared" si="0"/>
        <v>0</v>
      </c>
    </row>
    <row r="26" spans="1:15" x14ac:dyDescent="0.25">
      <c r="A26" s="167">
        <v>2017</v>
      </c>
      <c r="B26" s="764" t="s">
        <v>17</v>
      </c>
      <c r="C26" s="764" t="s">
        <v>65</v>
      </c>
      <c r="D26" s="764" t="s">
        <v>1057</v>
      </c>
      <c r="E26" s="1028">
        <v>7</v>
      </c>
      <c r="F26" s="1028">
        <f>'Shelter Maintenance'!$E26*8</f>
        <v>56</v>
      </c>
      <c r="H26" s="934"/>
      <c r="I26" s="935"/>
      <c r="J26" s="933">
        <f>SUM(J23:J25)</f>
        <v>148</v>
      </c>
      <c r="K26" s="933">
        <f>SUM(K23:K25)</f>
        <v>1184</v>
      </c>
      <c r="L26" s="936">
        <f>SUM(L23:L25)</f>
        <v>3</v>
      </c>
      <c r="M26" s="936">
        <f>SUM(M23:M25)</f>
        <v>24</v>
      </c>
      <c r="N26" s="929">
        <f t="shared" si="1"/>
        <v>132</v>
      </c>
      <c r="O26" s="937">
        <f t="shared" si="0"/>
        <v>2.0270270270270271E-2</v>
      </c>
    </row>
    <row r="27" spans="1:15" x14ac:dyDescent="0.25">
      <c r="A27" s="167">
        <v>2017</v>
      </c>
      <c r="B27" s="764" t="s">
        <v>17</v>
      </c>
      <c r="C27" s="764" t="s">
        <v>65</v>
      </c>
      <c r="D27" s="764" t="s">
        <v>282</v>
      </c>
      <c r="E27" s="1027">
        <v>0</v>
      </c>
      <c r="F27" s="1027">
        <f>'Shelter Maintenance'!$E27*8</f>
        <v>0</v>
      </c>
      <c r="H27" s="925"/>
      <c r="I27" s="926"/>
      <c r="J27" s="594"/>
      <c r="K27" s="594"/>
    </row>
    <row r="28" spans="1:15" x14ac:dyDescent="0.25">
      <c r="A28" s="167">
        <v>2017</v>
      </c>
      <c r="B28" s="384" t="s">
        <v>13</v>
      </c>
      <c r="C28" s="384" t="s">
        <v>41</v>
      </c>
      <c r="D28" s="384" t="s">
        <v>270</v>
      </c>
      <c r="E28" s="1028">
        <v>94</v>
      </c>
      <c r="F28" s="1028">
        <f>'Shelter Maintenance'!$E28*8</f>
        <v>752</v>
      </c>
      <c r="H28" s="769"/>
      <c r="I28" s="770"/>
      <c r="J28" s="771"/>
      <c r="K28" s="771"/>
    </row>
    <row r="29" spans="1:15" x14ac:dyDescent="0.25">
      <c r="A29" s="167">
        <v>2017</v>
      </c>
      <c r="B29" s="384" t="s">
        <v>13</v>
      </c>
      <c r="C29" s="384" t="s">
        <v>38</v>
      </c>
      <c r="D29" s="384" t="s">
        <v>575</v>
      </c>
      <c r="E29" s="1027">
        <v>81</v>
      </c>
      <c r="F29" s="1027">
        <f>'Shelter Maintenance'!$E29*8</f>
        <v>648</v>
      </c>
    </row>
    <row r="30" spans="1:15" x14ac:dyDescent="0.25">
      <c r="A30" s="167">
        <v>2017</v>
      </c>
      <c r="B30" s="384" t="s">
        <v>13</v>
      </c>
      <c r="C30" s="384" t="s">
        <v>982</v>
      </c>
      <c r="D30" s="384" t="s">
        <v>575</v>
      </c>
      <c r="E30" s="1028">
        <v>42</v>
      </c>
      <c r="F30" s="1028">
        <f>'Shelter Maintenance'!$E30*8</f>
        <v>336</v>
      </c>
      <c r="H30" s="1030"/>
      <c r="I30" s="1030"/>
      <c r="J30" s="1030"/>
      <c r="K30" s="1030"/>
      <c r="L30" s="1030"/>
    </row>
    <row r="31" spans="1:15" x14ac:dyDescent="0.25">
      <c r="A31" s="167">
        <v>2017</v>
      </c>
      <c r="B31" s="384" t="s">
        <v>13</v>
      </c>
      <c r="C31" s="384" t="s">
        <v>982</v>
      </c>
      <c r="D31" s="384" t="s">
        <v>270</v>
      </c>
      <c r="E31" s="1027">
        <v>45</v>
      </c>
      <c r="F31" s="1027">
        <f>'Shelter Maintenance'!$E31*8</f>
        <v>360</v>
      </c>
      <c r="H31" s="1030"/>
      <c r="I31" s="1030"/>
      <c r="J31" s="1030"/>
      <c r="K31" s="1030"/>
      <c r="L31" s="1030"/>
    </row>
    <row r="32" spans="1:15" x14ac:dyDescent="0.25">
      <c r="A32" s="167">
        <v>2017</v>
      </c>
      <c r="B32" s="384" t="s">
        <v>14</v>
      </c>
      <c r="C32" s="384" t="s">
        <v>45</v>
      </c>
      <c r="D32" s="384" t="s">
        <v>1056</v>
      </c>
      <c r="E32" s="1028">
        <v>3</v>
      </c>
      <c r="F32" s="1028">
        <f>'Shelter Maintenance'!$E32*8</f>
        <v>24</v>
      </c>
    </row>
    <row r="33" spans="1:6" x14ac:dyDescent="0.25">
      <c r="A33" s="167">
        <v>2017</v>
      </c>
      <c r="B33" s="384" t="s">
        <v>17</v>
      </c>
      <c r="C33" s="384" t="s">
        <v>1141</v>
      </c>
      <c r="D33" s="384" t="s">
        <v>1056</v>
      </c>
      <c r="E33" s="1027">
        <v>54</v>
      </c>
      <c r="F33" s="1027">
        <f>'Shelter Maintenance'!$E33*8</f>
        <v>432</v>
      </c>
    </row>
    <row r="34" spans="1:6" x14ac:dyDescent="0.25">
      <c r="A34" s="167">
        <v>2017</v>
      </c>
      <c r="B34" s="384" t="s">
        <v>17</v>
      </c>
      <c r="C34" s="384" t="s">
        <v>1141</v>
      </c>
      <c r="D34" s="384" t="s">
        <v>574</v>
      </c>
      <c r="E34" s="1028">
        <v>40</v>
      </c>
      <c r="F34" s="1028">
        <f>'Shelter Maintenance'!$E34*8</f>
        <v>320</v>
      </c>
    </row>
    <row r="35" spans="1:6" x14ac:dyDescent="0.25">
      <c r="A35" s="167">
        <v>2017</v>
      </c>
      <c r="B35" s="384" t="s">
        <v>17</v>
      </c>
      <c r="C35" s="384" t="s">
        <v>1141</v>
      </c>
      <c r="D35" s="384" t="s">
        <v>904</v>
      </c>
      <c r="E35" s="1027">
        <v>10</v>
      </c>
      <c r="F35" s="1027">
        <f>'Shelter Maintenance'!$E35*8</f>
        <v>80</v>
      </c>
    </row>
    <row r="36" spans="1:6" x14ac:dyDescent="0.25">
      <c r="A36" s="167">
        <v>2018</v>
      </c>
      <c r="B36" s="384" t="s">
        <v>17</v>
      </c>
      <c r="C36" s="384" t="s">
        <v>581</v>
      </c>
      <c r="D36" s="384" t="s">
        <v>1057</v>
      </c>
      <c r="E36" s="1028">
        <v>10</v>
      </c>
      <c r="F36" s="1028">
        <f>'Shelter Maintenance'!$E36*8</f>
        <v>80</v>
      </c>
    </row>
    <row r="37" spans="1:6" x14ac:dyDescent="0.25">
      <c r="A37" s="167">
        <v>2018</v>
      </c>
      <c r="B37" s="384" t="s">
        <v>17</v>
      </c>
      <c r="C37" s="384" t="s">
        <v>582</v>
      </c>
      <c r="D37" s="384" t="s">
        <v>280</v>
      </c>
      <c r="E37" s="1027">
        <v>14</v>
      </c>
      <c r="F37" s="1027">
        <f>'Shelter Maintenance'!$E37*8</f>
        <v>112</v>
      </c>
    </row>
    <row r="38" spans="1:6" x14ac:dyDescent="0.25">
      <c r="A38" s="167">
        <v>2018</v>
      </c>
      <c r="B38" s="384" t="s">
        <v>17</v>
      </c>
      <c r="C38" s="384" t="s">
        <v>582</v>
      </c>
      <c r="D38" s="384" t="s">
        <v>282</v>
      </c>
      <c r="E38" s="1028">
        <v>14</v>
      </c>
      <c r="F38" s="1028">
        <f>'Shelter Maintenance'!$E38*8</f>
        <v>112</v>
      </c>
    </row>
    <row r="39" spans="1:6" x14ac:dyDescent="0.25">
      <c r="A39" s="167">
        <v>2018</v>
      </c>
      <c r="B39" s="384" t="s">
        <v>17</v>
      </c>
      <c r="C39" s="384" t="s">
        <v>1152</v>
      </c>
      <c r="D39" s="384" t="s">
        <v>282</v>
      </c>
      <c r="E39" s="1027">
        <v>20</v>
      </c>
      <c r="F39" s="1027">
        <f>'Shelter Maintenance'!$E39*8</f>
        <v>160</v>
      </c>
    </row>
    <row r="40" spans="1:6" x14ac:dyDescent="0.25">
      <c r="A40" s="167">
        <v>2018</v>
      </c>
      <c r="B40" s="384" t="s">
        <v>17</v>
      </c>
      <c r="C40" s="384" t="s">
        <v>61</v>
      </c>
      <c r="D40" s="384" t="s">
        <v>280</v>
      </c>
      <c r="E40" s="1029">
        <v>10</v>
      </c>
      <c r="F40" s="1029">
        <f>'Shelter Maintenance'!$E40*8</f>
        <v>80</v>
      </c>
    </row>
    <row r="41" spans="1:6" x14ac:dyDescent="0.25">
      <c r="A41" s="173">
        <v>2018</v>
      </c>
      <c r="B41" s="384" t="s">
        <v>17</v>
      </c>
      <c r="C41" s="396" t="s">
        <v>61</v>
      </c>
      <c r="D41" s="396" t="s">
        <v>1153</v>
      </c>
      <c r="E41" s="402">
        <v>6</v>
      </c>
      <c r="F41" s="1029">
        <f>'Shelter Maintenance'!$E41*8</f>
        <v>48</v>
      </c>
    </row>
  </sheetData>
  <mergeCells count="6">
    <mergeCell ref="A1:F2"/>
    <mergeCell ref="H1:H3"/>
    <mergeCell ref="I1:I3"/>
    <mergeCell ref="J1:K2"/>
    <mergeCell ref="L2:O2"/>
    <mergeCell ref="L1:O1"/>
  </mergeCells>
  <dataValidations count="6">
    <dataValidation type="list" allowBlank="1" showInputMessage="1" showErrorMessage="1" sqref="B23:B27">
      <formula1>INDIRECT(J1047977)</formula1>
    </dataValidation>
    <dataValidation type="list" allowBlank="1" showInputMessage="1" showErrorMessage="1" sqref="B22">
      <formula1>INDIRECT(J1047975)</formula1>
    </dataValidation>
    <dataValidation type="list" allowBlank="1" showInputMessage="1" showErrorMessage="1" sqref="B17:B21">
      <formula1>INDIRECT(J1047969)</formula1>
    </dataValidation>
    <dataValidation type="list" allowBlank="1" showInputMessage="1" showErrorMessage="1" sqref="B7:B16">
      <formula1>INDIRECT(J1047957)</formula1>
    </dataValidation>
    <dataValidation type="list" allowBlank="1" showInputMessage="1" showErrorMessage="1" sqref="B4:B6">
      <formula1>INDIRECT(J1047953)</formula1>
    </dataValidation>
    <dataValidation type="list" allowBlank="1" showInputMessage="1" showErrorMessage="1" sqref="C4:D27">
      <formula1>OFFSET(TCL_T1,MATCH(B4,TCL_T,0)-1,1,COUNTIF(TCL_T,B4),1)</formula1>
    </dataValidation>
  </dataValidations>
  <pageMargins left="0.7" right="0.7" top="0.75" bottom="0.75" header="0.3" footer="0.3"/>
  <pageSetup paperSize="9"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12" activePane="bottomLeft" state="frozen"/>
      <selection activeCell="B14" sqref="B14"/>
      <selection pane="bottomLeft" activeCell="A10" sqref="A10:XFD10"/>
    </sheetView>
  </sheetViews>
  <sheetFormatPr defaultRowHeight="15" x14ac:dyDescent="0.2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80" t="s">
        <v>1109</v>
      </c>
      <c r="B2" s="1181"/>
      <c r="C2" s="1181"/>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82">
        <f>Report_Date</f>
        <v>43434</v>
      </c>
      <c r="B3" s="1183"/>
      <c r="C3" s="1183"/>
      <c r="D3" s="1183"/>
      <c r="E3" s="1183"/>
      <c r="F3" s="1183"/>
      <c r="G3" s="1183"/>
      <c r="H3" s="1183"/>
      <c r="I3" s="1183"/>
      <c r="J3" s="1183"/>
      <c r="K3" s="1183"/>
      <c r="L3" s="1183"/>
      <c r="M3" s="1183"/>
      <c r="N3" s="1183"/>
      <c r="O3" s="1183"/>
      <c r="P3" s="1183"/>
      <c r="Q3" s="1183"/>
      <c r="R3" s="1184"/>
      <c r="S3" s="45"/>
      <c r="T3" s="45"/>
      <c r="U3" s="45"/>
      <c r="V3" s="58"/>
      <c r="W3" s="45"/>
      <c r="X3" s="45"/>
      <c r="BI3" s="58"/>
      <c r="BJ3" s="58"/>
    </row>
    <row r="4" spans="1:62" s="16" customFormat="1" ht="19.5" customHeight="1" x14ac:dyDescent="0.25">
      <c r="A4" s="60" t="s">
        <v>1087</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790" t="s">
        <v>211</v>
      </c>
      <c r="F5" s="790" t="s">
        <v>212</v>
      </c>
      <c r="G5" s="790" t="s">
        <v>210</v>
      </c>
      <c r="H5" s="784" t="s">
        <v>217</v>
      </c>
      <c r="I5" s="784" t="s">
        <v>215</v>
      </c>
      <c r="J5" s="783" t="s">
        <v>479</v>
      </c>
      <c r="K5" s="784" t="s">
        <v>478</v>
      </c>
      <c r="L5" s="785"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5"/>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5"/>
      <c r="U7" s="41"/>
    </row>
    <row r="8" spans="1:62" x14ac:dyDescent="0.25">
      <c r="A8" s="166" t="s">
        <v>814</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x14ac:dyDescent="0.25">
      <c r="A9" s="166" t="s">
        <v>13</v>
      </c>
      <c r="B9" s="33">
        <f>SUMIFS(Camplist_HH,Camplist_Township,'Shelter Progress'!$A9,CampList_Status,"Open")-(648+891)</f>
        <v>3585</v>
      </c>
      <c r="C9" s="33">
        <f>SUMIFS(Camplist_Popl,Camplist_Township,'Shelter Progress'!$A9,CampList_Status,"Open")-(3240+4239)</f>
        <v>14820</v>
      </c>
      <c r="D9" s="52">
        <f t="shared" si="0"/>
        <v>110</v>
      </c>
      <c r="E9" s="52">
        <f t="shared" si="1"/>
        <v>532</v>
      </c>
      <c r="F9" s="52">
        <f t="shared" si="2"/>
        <v>0</v>
      </c>
      <c r="G9" s="52">
        <f t="shared" si="3"/>
        <v>532</v>
      </c>
      <c r="H9" s="52">
        <f ca="1">SUMIF(Col_Shelter_Township,$A9,Shelter_HH_Covered)-1560</f>
        <v>2904</v>
      </c>
      <c r="I9" s="194">
        <f t="shared" ca="1" si="4"/>
        <v>12004.820083682009</v>
      </c>
      <c r="J9" s="195">
        <f t="shared" ca="1" si="6"/>
        <v>681</v>
      </c>
      <c r="K9" s="196">
        <f t="shared" ca="1" si="7"/>
        <v>0.81004184100418408</v>
      </c>
      <c r="L9" s="195">
        <f t="shared" ca="1" si="8"/>
        <v>2815.1799163179912</v>
      </c>
      <c r="M9" s="6"/>
      <c r="N9" s="6"/>
      <c r="O9" s="6"/>
      <c r="P9" s="6"/>
      <c r="Q9" s="6"/>
      <c r="R9" s="6"/>
      <c r="S9" s="35">
        <f t="shared" si="5"/>
        <v>4.1338912133891217</v>
      </c>
      <c r="U9" s="41"/>
    </row>
    <row r="10" spans="1:62" x14ac:dyDescent="0.25">
      <c r="A10" s="26" t="s">
        <v>17</v>
      </c>
      <c r="B10" s="33">
        <f>SUMIFS(Camplist_HH,Camplist_Township,'Shelter Progress'!$A10,CampList_Status,"Open")</f>
        <v>18819</v>
      </c>
      <c r="C10" s="33">
        <f>SUMIFS(Camplist_Popl,Camplist_Township,'Shelter Progress'!$A10,CampList_Status,"Open")</f>
        <v>100848</v>
      </c>
      <c r="D10" s="52">
        <f t="shared" si="0"/>
        <v>0</v>
      </c>
      <c r="E10" s="52">
        <f t="shared" si="1"/>
        <v>1832</v>
      </c>
      <c r="F10" s="52">
        <f t="shared" si="2"/>
        <v>0</v>
      </c>
      <c r="G10" s="52">
        <f t="shared" si="3"/>
        <v>1832</v>
      </c>
      <c r="H10" s="52">
        <f ca="1">SUMIF(Col_Shelter_Township,$A10,Shelter_HH_Covered)-2883</f>
        <v>14256</v>
      </c>
      <c r="I10" s="194">
        <f t="shared" ca="1" si="4"/>
        <v>76395.615494978483</v>
      </c>
      <c r="J10" s="195">
        <f t="shared" ca="1" si="6"/>
        <v>4563</v>
      </c>
      <c r="K10" s="196">
        <f t="shared" ca="1" si="7"/>
        <v>0.75753228120516503</v>
      </c>
      <c r="L10" s="195">
        <f t="shared" ca="1" si="8"/>
        <v>24452.384505021517</v>
      </c>
      <c r="M10" s="6"/>
      <c r="N10" s="6"/>
      <c r="O10" s="6"/>
      <c r="P10" s="6"/>
      <c r="Q10" s="6"/>
      <c r="R10" s="6"/>
      <c r="S10" s="91">
        <f t="shared" si="5"/>
        <v>5.3588394707476485</v>
      </c>
      <c r="U10" s="41"/>
    </row>
    <row r="11" spans="1:62" x14ac:dyDescent="0.25">
      <c r="A11" s="12" t="s">
        <v>5</v>
      </c>
      <c r="B11" s="53">
        <f t="shared" ref="B11:H11" si="9">SUM(B6:B10)</f>
        <v>23559</v>
      </c>
      <c r="C11" s="53">
        <f t="shared" si="9"/>
        <v>119954</v>
      </c>
      <c r="D11" s="53">
        <f t="shared" si="9"/>
        <v>110</v>
      </c>
      <c r="E11" s="53">
        <f t="shared" si="9"/>
        <v>2515</v>
      </c>
      <c r="F11" s="53">
        <f t="shared" si="9"/>
        <v>0</v>
      </c>
      <c r="G11" s="53">
        <f t="shared" si="9"/>
        <v>2515</v>
      </c>
      <c r="H11" s="53">
        <f t="shared" ca="1" si="9"/>
        <v>18484</v>
      </c>
      <c r="I11" s="797">
        <f t="shared" ca="1" si="4"/>
        <v>94113.915531219493</v>
      </c>
      <c r="J11" s="54">
        <f t="shared" ca="1" si="6"/>
        <v>5075</v>
      </c>
      <c r="K11" s="196">
        <f t="shared" ca="1" si="7"/>
        <v>0.78458338639161251</v>
      </c>
      <c r="L11" s="195">
        <f t="shared" ca="1" si="8"/>
        <v>25840.084468780507</v>
      </c>
      <c r="M11" s="6"/>
      <c r="N11" s="6"/>
      <c r="O11" s="6"/>
      <c r="P11" s="6"/>
      <c r="Q11" s="6"/>
      <c r="R11" s="6"/>
      <c r="S11" s="35">
        <f t="shared" si="5"/>
        <v>5.0916422598582285</v>
      </c>
    </row>
    <row r="12" spans="1:62" x14ac:dyDescent="0.25">
      <c r="M12" s="6"/>
      <c r="N12" s="6"/>
      <c r="O12" s="6"/>
      <c r="P12" s="6"/>
      <c r="Q12" s="6"/>
      <c r="R12" s="6"/>
      <c r="S12" s="35"/>
    </row>
    <row r="13" spans="1:62" ht="15.75" x14ac:dyDescent="0.25">
      <c r="A13" s="788" t="s">
        <v>1088</v>
      </c>
      <c r="M13" s="6"/>
      <c r="N13" s="6"/>
      <c r="O13" s="6"/>
      <c r="P13" s="6"/>
      <c r="Q13" s="6"/>
      <c r="R13" s="6"/>
    </row>
    <row r="14" spans="1:62" ht="37.5" customHeight="1" x14ac:dyDescent="0.25">
      <c r="A14" s="749" t="s">
        <v>1</v>
      </c>
      <c r="B14" s="749" t="s">
        <v>213</v>
      </c>
      <c r="C14" s="749" t="s">
        <v>214</v>
      </c>
      <c r="D14" s="381" t="s">
        <v>1080</v>
      </c>
      <c r="E14" s="381" t="s">
        <v>1081</v>
      </c>
      <c r="F14" s="381" t="s">
        <v>1082</v>
      </c>
      <c r="G14" s="784" t="s">
        <v>217</v>
      </c>
      <c r="H14" s="784" t="s">
        <v>215</v>
      </c>
      <c r="I14" s="783" t="s">
        <v>479</v>
      </c>
      <c r="J14" s="784" t="s">
        <v>478</v>
      </c>
      <c r="K14" s="785" t="s">
        <v>480</v>
      </c>
      <c r="L14" s="6"/>
      <c r="M14" s="6"/>
      <c r="N14" s="6"/>
      <c r="O14" s="6"/>
      <c r="P14" s="6"/>
      <c r="Q14" s="6"/>
      <c r="R14" s="6"/>
    </row>
    <row r="15" spans="1:62" x14ac:dyDescent="0.25">
      <c r="A15" s="646" t="s">
        <v>561</v>
      </c>
      <c r="B15" s="646">
        <f>SUMIFS(Camplist_HH,Camplist_Township,'Shelter Progress'!$A15,CampList_Status,"&lt;&gt;Open")</f>
        <v>65</v>
      </c>
      <c r="C15" s="646">
        <f>SUMIFS(Camplist_Popl,Camplist_Township,'Shelter Progress'!$A15,CampList_Status,"&lt;&gt;Open")</f>
        <v>327</v>
      </c>
      <c r="D15" s="646">
        <f t="shared" ref="D15:D20" si="10">SUMIF(Col_Shelter_Township,$A15,Col_Shelter_Individual_B)</f>
        <v>65</v>
      </c>
      <c r="E15" s="646">
        <f t="shared" ref="E15:E21" si="11">SUMIF(Col_Shelter_Township,$A15,Col_Shelter_Individual_U)</f>
        <v>0</v>
      </c>
      <c r="F15" s="646">
        <f t="shared" ref="F15:F22" si="12">SUMIF(Col_Shelter_Township,$A15,Col_Shelter_Individual_P)</f>
        <v>65</v>
      </c>
      <c r="G15" s="197">
        <f>SUMIF(Col_Shelter_Township,$A15,Shelter_Cover2)-424</f>
        <v>65</v>
      </c>
      <c r="H15" s="646">
        <v>327</v>
      </c>
      <c r="I15" s="197">
        <f>B15-G15</f>
        <v>0</v>
      </c>
      <c r="J15" s="789">
        <f>IF(G15/B15&gt;1,1,G15/B15)</f>
        <v>1</v>
      </c>
      <c r="K15" s="646">
        <f>MAX(C15-H15)</f>
        <v>0</v>
      </c>
      <c r="L15" s="6"/>
      <c r="M15" s="6"/>
      <c r="N15" s="6"/>
      <c r="O15" s="6"/>
      <c r="P15" s="6"/>
      <c r="Q15" s="6"/>
      <c r="R15" s="6"/>
    </row>
    <row r="16" spans="1:62" s="645" customFormat="1" x14ac:dyDescent="0.25">
      <c r="A16" s="646" t="s">
        <v>14</v>
      </c>
      <c r="B16" s="646">
        <f>SUMIFS(Camplist_HH,Camplist_Township,'Shelter Progress'!$A16,CampList_Status,"&lt;&gt;Open")</f>
        <v>924</v>
      </c>
      <c r="C16" s="646">
        <f>SUMIFS(Camplist_Popl,Camplist_Township,'Shelter Progress'!$A16,CampList_Status,"&lt;&gt;Open")</f>
        <v>5981</v>
      </c>
      <c r="D16" s="646">
        <f t="shared" si="10"/>
        <v>924</v>
      </c>
      <c r="E16" s="646">
        <f t="shared" si="11"/>
        <v>0</v>
      </c>
      <c r="F16" s="646">
        <f t="shared" si="12"/>
        <v>924</v>
      </c>
      <c r="G16" s="646">
        <f>SUMIF(Col_Shelter_Township,$A16,Shelter_Cover2)-72</f>
        <v>924</v>
      </c>
      <c r="H16" s="646">
        <v>5981</v>
      </c>
      <c r="I16" s="197">
        <f t="shared" ref="I16:I23" si="13">B16-G16</f>
        <v>0</v>
      </c>
      <c r="J16" s="789">
        <f t="shared" ref="J16:J23" si="14">IF(G16/B16&gt;1,1,G16/B16)</f>
        <v>1</v>
      </c>
      <c r="K16" s="646">
        <f t="shared" ref="K16:K23" si="15">MAX(C16-H16)</f>
        <v>0</v>
      </c>
      <c r="L16" s="6"/>
      <c r="M16" s="6"/>
      <c r="N16" s="6"/>
      <c r="O16" s="6"/>
      <c r="P16" s="6"/>
      <c r="Q16" s="6"/>
      <c r="R16" s="6"/>
    </row>
    <row r="17" spans="1:18" x14ac:dyDescent="0.25">
      <c r="A17" s="646" t="s">
        <v>11</v>
      </c>
      <c r="B17" s="646">
        <f>SUMIFS(Camplist_HH,Camplist_Township,'Shelter Progress'!$A17,CampList_Status,"&lt;&gt;Open")</f>
        <v>916</v>
      </c>
      <c r="C17" s="646">
        <f>SUMIFS(Camplist_Popl,Camplist_Township,'Shelter Progress'!$A17,CampList_Status,"&lt;&gt;Open")</f>
        <v>5638</v>
      </c>
      <c r="D17" s="646">
        <f>SUMIF(Col_Shelter_Township,$A17,Col_Shelter_Individual_B)</f>
        <v>916</v>
      </c>
      <c r="E17" s="646">
        <f t="shared" si="11"/>
        <v>0</v>
      </c>
      <c r="F17" s="646">
        <v>916</v>
      </c>
      <c r="G17" s="646">
        <v>916</v>
      </c>
      <c r="H17" s="19">
        <v>5638</v>
      </c>
      <c r="I17" s="197">
        <f t="shared" si="13"/>
        <v>0</v>
      </c>
      <c r="J17" s="789">
        <f t="shared" si="14"/>
        <v>1</v>
      </c>
      <c r="K17" s="646">
        <f t="shared" si="15"/>
        <v>0</v>
      </c>
      <c r="L17" s="6"/>
      <c r="M17" s="6"/>
      <c r="N17" s="6"/>
      <c r="O17" s="6"/>
      <c r="P17" s="6"/>
      <c r="Q17" s="6"/>
      <c r="R17" s="6"/>
    </row>
    <row r="18" spans="1:18" x14ac:dyDescent="0.25">
      <c r="A18" s="646" t="s">
        <v>932</v>
      </c>
      <c r="B18" s="646">
        <f>SUMIFS(Camplist_HH,Camplist_Township,'Shelter Progress'!$A18,CampList_Status,"&lt;&gt;Open")</f>
        <v>611</v>
      </c>
      <c r="C18" s="646">
        <f>SUMIFS(Camplist_Popl,Camplist_Township,'Shelter Progress'!$A18,CampList_Status,"&lt;&gt;Open")</f>
        <v>3826</v>
      </c>
      <c r="D18" s="646">
        <f t="shared" si="10"/>
        <v>611</v>
      </c>
      <c r="E18" s="646">
        <f t="shared" si="11"/>
        <v>0</v>
      </c>
      <c r="F18" s="646">
        <f t="shared" si="12"/>
        <v>611</v>
      </c>
      <c r="G18" s="646">
        <f>SUMIF(Col_Shelter_Township,$A18,Shelter_Cover2)</f>
        <v>611</v>
      </c>
      <c r="H18" s="19">
        <v>3826</v>
      </c>
      <c r="I18" s="197">
        <f t="shared" si="13"/>
        <v>0</v>
      </c>
      <c r="J18" s="789">
        <f t="shared" si="14"/>
        <v>1</v>
      </c>
      <c r="K18" s="646">
        <f t="shared" si="15"/>
        <v>0</v>
      </c>
      <c r="L18" s="6"/>
      <c r="M18" s="6"/>
      <c r="N18" s="6"/>
      <c r="O18" s="6"/>
      <c r="P18" s="6"/>
      <c r="Q18" s="6"/>
      <c r="R18" s="6"/>
    </row>
    <row r="19" spans="1:18" x14ac:dyDescent="0.25">
      <c r="A19" s="646" t="s">
        <v>814</v>
      </c>
      <c r="B19" s="646">
        <f>SUMIFS(Camplist_HH,Camplist_Township,'Shelter Progress'!$A19,CampList_Status,"&lt;&gt;Open")+116</f>
        <v>156</v>
      </c>
      <c r="C19" s="646">
        <f>SUMIFS(Camplist_Popl,Camplist_Township,'Shelter Progress'!$A19,CampList_Status,"&lt;&gt;Open")+638</f>
        <v>842</v>
      </c>
      <c r="D19" s="646">
        <f t="shared" si="10"/>
        <v>156</v>
      </c>
      <c r="E19" s="646">
        <f t="shared" si="11"/>
        <v>0</v>
      </c>
      <c r="F19" s="646">
        <f>SUMIF(Col_Shelter_Township,$A19,Col_Shelter_Individual_P)</f>
        <v>156</v>
      </c>
      <c r="G19" s="646">
        <f>SUMIF(Col_Shelter_Township,$A19,Shelter_Cover2)-712</f>
        <v>156</v>
      </c>
      <c r="H19" s="19">
        <f>204+638</f>
        <v>842</v>
      </c>
      <c r="I19" s="197">
        <f t="shared" si="13"/>
        <v>0</v>
      </c>
      <c r="J19" s="789">
        <f t="shared" si="14"/>
        <v>1</v>
      </c>
      <c r="K19" s="646">
        <f t="shared" si="15"/>
        <v>0</v>
      </c>
      <c r="L19" s="6"/>
      <c r="M19" s="6"/>
      <c r="N19" s="6"/>
      <c r="O19" s="6"/>
      <c r="P19" s="6"/>
      <c r="Q19" s="6"/>
      <c r="R19" s="6"/>
    </row>
    <row r="20" spans="1:18" x14ac:dyDescent="0.25">
      <c r="A20" s="646" t="s">
        <v>13</v>
      </c>
      <c r="B20" s="646">
        <f>SUMIFS(Camplist_HH,Camplist_Township,'Shelter Progress'!$A20,CampList_Status,"&lt;&gt;Open")+(648+891)</f>
        <v>1560</v>
      </c>
      <c r="C20" s="646">
        <f>SUMIFS(Camplist_Popl,Camplist_Township,'Shelter Progress'!$A20,CampList_Status,"&lt;&gt;Open")+(3240+4239)</f>
        <v>7601</v>
      </c>
      <c r="D20" s="646">
        <f t="shared" si="10"/>
        <v>1560</v>
      </c>
      <c r="E20" s="646">
        <f t="shared" si="11"/>
        <v>0</v>
      </c>
      <c r="F20" s="646">
        <f t="shared" si="12"/>
        <v>1560</v>
      </c>
      <c r="G20" s="646">
        <v>1560</v>
      </c>
      <c r="H20" s="19">
        <v>7601</v>
      </c>
      <c r="I20" s="197">
        <f t="shared" si="13"/>
        <v>0</v>
      </c>
      <c r="J20" s="789">
        <f t="shared" si="14"/>
        <v>1</v>
      </c>
      <c r="K20" s="646">
        <f t="shared" si="15"/>
        <v>0</v>
      </c>
      <c r="L20" s="6"/>
      <c r="M20" s="6"/>
      <c r="N20" s="6"/>
      <c r="O20" s="6"/>
      <c r="P20" s="6"/>
      <c r="Q20" s="6"/>
      <c r="R20" s="6"/>
    </row>
    <row r="21" spans="1:18" x14ac:dyDescent="0.25">
      <c r="A21" s="646" t="s">
        <v>15</v>
      </c>
      <c r="B21" s="646">
        <f>SUMIFS(Camplist_HH,Camplist_Township,'Shelter Progress'!$A21,CampList_Status,"&lt;&gt;Open")</f>
        <v>88</v>
      </c>
      <c r="C21" s="646">
        <f>SUMIFS(Camplist_Popl,Camplist_Township,'Shelter Progress'!$A21,CampList_Status,"&lt;&gt;Open")</f>
        <v>489</v>
      </c>
      <c r="D21" s="646">
        <f>SUMIF(Col_Shelter_Township,$A21,Col_Shelter_Individual_B)</f>
        <v>88</v>
      </c>
      <c r="E21" s="646">
        <f t="shared" si="11"/>
        <v>0</v>
      </c>
      <c r="F21" s="646">
        <f t="shared" si="12"/>
        <v>88</v>
      </c>
      <c r="G21" s="646">
        <f>SUMIF(Col_Shelter_Township,$A21,Shelter_Cover2)</f>
        <v>88</v>
      </c>
      <c r="H21" s="19">
        <v>489</v>
      </c>
      <c r="I21" s="197">
        <f t="shared" si="13"/>
        <v>0</v>
      </c>
      <c r="J21" s="789">
        <f t="shared" si="14"/>
        <v>1</v>
      </c>
      <c r="K21" s="646">
        <f t="shared" si="15"/>
        <v>0</v>
      </c>
      <c r="L21" s="6"/>
      <c r="M21" s="6"/>
      <c r="N21" s="6"/>
      <c r="O21" s="6"/>
      <c r="P21" s="6"/>
      <c r="Q21" s="6"/>
      <c r="R21" s="6"/>
    </row>
    <row r="22" spans="1:18" s="645" customFormat="1" x14ac:dyDescent="0.25">
      <c r="A22" s="646" t="s">
        <v>17</v>
      </c>
      <c r="B22" s="646">
        <f>SUMIFS(Camplist_HH,Camplist_Township,'Shelter Progress'!$A22,CampList_Status,"&lt;&gt;Open")</f>
        <v>892</v>
      </c>
      <c r="C22" s="646">
        <f>SUMIFS(Camplist_Popl,Camplist_Township,'Shelter Progress'!$A22,CampList_Status,"&lt;&gt;Open")</f>
        <v>4598</v>
      </c>
      <c r="D22" s="646">
        <f>SUMIF(Col_Shelter_Township,$A22,Col_Shelter_Individual_B)</f>
        <v>892</v>
      </c>
      <c r="E22" s="646"/>
      <c r="F22" s="646">
        <f t="shared" si="12"/>
        <v>892</v>
      </c>
      <c r="G22" s="646">
        <v>892</v>
      </c>
      <c r="H22" s="19">
        <v>4598</v>
      </c>
      <c r="I22" s="197">
        <f t="shared" si="13"/>
        <v>0</v>
      </c>
      <c r="J22" s="789">
        <f t="shared" si="14"/>
        <v>1</v>
      </c>
      <c r="K22" s="646">
        <f t="shared" si="15"/>
        <v>0</v>
      </c>
      <c r="L22" s="6"/>
      <c r="M22" s="6"/>
      <c r="N22" s="6"/>
      <c r="O22" s="6"/>
      <c r="P22" s="6"/>
      <c r="Q22" s="6"/>
      <c r="R22" s="6"/>
    </row>
    <row r="23" spans="1:18" x14ac:dyDescent="0.25">
      <c r="A23" s="750" t="s">
        <v>5</v>
      </c>
      <c r="B23" s="750">
        <f>SUM(B15:B22)</f>
        <v>5212</v>
      </c>
      <c r="C23" s="750">
        <f>SUM(C15:C22)</f>
        <v>29302</v>
      </c>
      <c r="D23" s="750">
        <f>SUM(D15:D22)</f>
        <v>5212</v>
      </c>
      <c r="E23" s="646"/>
      <c r="F23" s="750">
        <f>SUM(F15:F22)</f>
        <v>5212</v>
      </c>
      <c r="G23" s="197">
        <f>SUM(G15:G22)</f>
        <v>5212</v>
      </c>
      <c r="H23" s="646">
        <f>SUM(H15:H22)</f>
        <v>29302</v>
      </c>
      <c r="I23" s="197">
        <f t="shared" si="13"/>
        <v>0</v>
      </c>
      <c r="J23" s="789">
        <f t="shared" si="14"/>
        <v>1</v>
      </c>
      <c r="K23" s="646">
        <f t="shared" si="15"/>
        <v>0</v>
      </c>
      <c r="L23" s="6"/>
      <c r="M23" s="6"/>
      <c r="N23" s="6"/>
      <c r="O23" s="6"/>
      <c r="P23" s="6"/>
      <c r="Q23" s="6"/>
      <c r="R23" s="6"/>
    </row>
    <row r="24" spans="1:18" x14ac:dyDescent="0.25">
      <c r="L24" s="6"/>
      <c r="M24" s="6"/>
      <c r="N24" s="6"/>
      <c r="O24" s="6"/>
      <c r="P24" s="6"/>
      <c r="Q24" s="6"/>
      <c r="R24" s="6"/>
    </row>
    <row r="25" spans="1:18" s="645" customFormat="1" x14ac:dyDescent="0.25">
      <c r="G25" s="6"/>
      <c r="H25" s="6"/>
      <c r="I25" s="6"/>
      <c r="J25" s="6"/>
      <c r="K25" s="6"/>
      <c r="L25" s="6"/>
      <c r="M25" s="6"/>
      <c r="N25" s="6"/>
      <c r="O25" s="6"/>
      <c r="P25" s="6"/>
      <c r="Q25" s="6"/>
      <c r="R25" s="6"/>
    </row>
    <row r="26" spans="1:18" x14ac:dyDescent="0.25">
      <c r="A26" s="170" t="s">
        <v>10</v>
      </c>
      <c r="B26" s="646" t="s">
        <v>7</v>
      </c>
      <c r="D26" s="170" t="s">
        <v>1053</v>
      </c>
      <c r="E26" s="646" t="s">
        <v>1089</v>
      </c>
      <c r="G26" s="6"/>
      <c r="H26" s="38"/>
      <c r="I26" s="38"/>
      <c r="J26" s="6"/>
      <c r="K26" s="6"/>
      <c r="L26" s="6"/>
      <c r="M26" s="6"/>
      <c r="N26" s="6"/>
      <c r="O26" s="6"/>
      <c r="P26" s="6"/>
      <c r="Q26" s="6"/>
      <c r="R26" s="6"/>
    </row>
    <row r="27" spans="1:18" x14ac:dyDescent="0.25">
      <c r="D27" s="946" t="s">
        <v>278</v>
      </c>
      <c r="E27" s="88">
        <v>2194</v>
      </c>
      <c r="G27" s="6"/>
      <c r="H27" s="6"/>
      <c r="I27" s="6"/>
      <c r="J27" s="6"/>
      <c r="K27" s="6"/>
      <c r="L27" s="6"/>
      <c r="M27" s="6"/>
      <c r="N27" s="6"/>
      <c r="O27" s="6"/>
      <c r="P27" s="6"/>
      <c r="Q27" s="6"/>
      <c r="R27" s="6"/>
    </row>
    <row r="28" spans="1:18" x14ac:dyDescent="0.25">
      <c r="A28" s="170" t="s">
        <v>1053</v>
      </c>
      <c r="B28" s="167" t="s">
        <v>752</v>
      </c>
      <c r="D28" s="946" t="s">
        <v>1072</v>
      </c>
      <c r="E28" s="88">
        <v>56</v>
      </c>
      <c r="G28" s="6"/>
      <c r="H28" s="6"/>
      <c r="I28" s="6"/>
      <c r="J28" s="6"/>
      <c r="K28" s="6"/>
      <c r="L28" s="6"/>
      <c r="M28" s="6"/>
      <c r="N28" s="6"/>
      <c r="O28" s="6"/>
      <c r="P28" s="6"/>
      <c r="Q28" s="6"/>
      <c r="R28" s="6"/>
    </row>
    <row r="29" spans="1:18" x14ac:dyDescent="0.25">
      <c r="A29" s="945" t="s">
        <v>278</v>
      </c>
      <c r="B29" s="90">
        <v>941</v>
      </c>
      <c r="D29" s="946" t="s">
        <v>1056</v>
      </c>
      <c r="E29" s="88">
        <v>589</v>
      </c>
      <c r="G29" s="6"/>
      <c r="H29" s="6"/>
      <c r="I29" s="6"/>
      <c r="J29" s="6"/>
      <c r="K29" s="6"/>
      <c r="L29" s="6"/>
      <c r="M29" s="6"/>
      <c r="N29" s="6"/>
      <c r="O29" s="6"/>
      <c r="P29" s="6"/>
      <c r="Q29" s="6"/>
      <c r="R29" s="6"/>
    </row>
    <row r="30" spans="1:18" x14ac:dyDescent="0.25">
      <c r="A30" s="946" t="s">
        <v>270</v>
      </c>
      <c r="B30" s="88">
        <v>694</v>
      </c>
      <c r="D30" s="946" t="s">
        <v>1074</v>
      </c>
      <c r="E30" s="88">
        <v>2301</v>
      </c>
      <c r="G30" s="6"/>
      <c r="H30" s="6"/>
      <c r="I30" s="6"/>
      <c r="J30" s="6"/>
      <c r="K30" s="6"/>
      <c r="L30" s="6"/>
      <c r="M30" s="6"/>
      <c r="N30" s="6"/>
      <c r="O30" s="6"/>
      <c r="P30" s="6"/>
      <c r="Q30" s="6"/>
      <c r="R30" s="6"/>
    </row>
    <row r="31" spans="1:18" x14ac:dyDescent="0.25">
      <c r="A31" s="946" t="s">
        <v>425</v>
      </c>
      <c r="B31" s="88">
        <v>224</v>
      </c>
      <c r="D31" s="946" t="s">
        <v>270</v>
      </c>
      <c r="E31" s="88">
        <v>72</v>
      </c>
      <c r="G31" s="6"/>
      <c r="H31" s="6"/>
      <c r="I31" s="6"/>
      <c r="J31" s="6"/>
      <c r="K31" s="6"/>
      <c r="L31" s="6"/>
      <c r="M31" s="6"/>
      <c r="N31" s="6"/>
      <c r="O31" s="6"/>
      <c r="P31" s="6"/>
      <c r="Q31" s="6"/>
      <c r="R31" s="6"/>
    </row>
    <row r="32" spans="1:18" x14ac:dyDescent="0.25">
      <c r="A32" s="946" t="s">
        <v>273</v>
      </c>
      <c r="B32" s="88">
        <v>223</v>
      </c>
      <c r="D32" s="946" t="s">
        <v>204</v>
      </c>
      <c r="E32" s="88">
        <v>5212</v>
      </c>
      <c r="G32" s="6"/>
      <c r="H32" s="6"/>
      <c r="I32" s="6"/>
      <c r="J32" s="6"/>
      <c r="K32" s="6"/>
      <c r="L32" s="6"/>
      <c r="M32" s="6"/>
      <c r="N32" s="6"/>
      <c r="O32" s="6"/>
      <c r="P32" s="6"/>
      <c r="Q32" s="6"/>
      <c r="R32" s="6"/>
    </row>
    <row r="33" spans="1:18" x14ac:dyDescent="0.25">
      <c r="A33" s="946" t="s">
        <v>574</v>
      </c>
      <c r="B33" s="88">
        <v>201</v>
      </c>
      <c r="G33" s="6"/>
      <c r="H33" s="6"/>
      <c r="I33" s="6"/>
      <c r="J33" s="6"/>
      <c r="K33" s="6"/>
      <c r="L33" s="6"/>
      <c r="M33" s="6"/>
      <c r="N33" s="6"/>
      <c r="O33" s="6"/>
      <c r="P33" s="6"/>
      <c r="Q33" s="6"/>
      <c r="R33" s="6"/>
    </row>
    <row r="34" spans="1:18" x14ac:dyDescent="0.25">
      <c r="A34" s="946" t="s">
        <v>279</v>
      </c>
      <c r="B34" s="88">
        <v>60</v>
      </c>
      <c r="G34" s="6"/>
      <c r="H34" s="6"/>
      <c r="I34" s="6"/>
      <c r="J34" s="6"/>
      <c r="K34" s="6"/>
      <c r="L34" s="6"/>
      <c r="M34" s="6"/>
      <c r="N34" s="6"/>
      <c r="O34" s="6"/>
      <c r="P34" s="6"/>
      <c r="Q34" s="6"/>
      <c r="R34" s="6"/>
    </row>
    <row r="35" spans="1:18" x14ac:dyDescent="0.25">
      <c r="A35" s="946" t="s">
        <v>282</v>
      </c>
      <c r="B35" s="88">
        <v>50</v>
      </c>
      <c r="G35" s="6"/>
      <c r="H35" s="6"/>
      <c r="I35" s="6"/>
      <c r="J35" s="6"/>
      <c r="K35" s="6"/>
      <c r="L35" s="6"/>
      <c r="M35" s="6"/>
      <c r="N35" s="6"/>
      <c r="O35" s="6"/>
      <c r="P35" s="6"/>
      <c r="Q35" s="6"/>
      <c r="R35" s="6"/>
    </row>
    <row r="36" spans="1:18" x14ac:dyDescent="0.25">
      <c r="A36" s="946" t="s">
        <v>281</v>
      </c>
      <c r="B36" s="88">
        <v>40</v>
      </c>
      <c r="G36" s="6" t="s">
        <v>1076</v>
      </c>
      <c r="H36" s="6"/>
      <c r="I36" s="6"/>
      <c r="J36" s="6"/>
      <c r="K36" s="6"/>
      <c r="L36" s="6"/>
      <c r="M36" s="6"/>
      <c r="N36" s="6"/>
      <c r="O36" s="6"/>
      <c r="P36" s="6"/>
      <c r="Q36" s="6"/>
      <c r="R36" s="6"/>
    </row>
    <row r="37" spans="1:18" x14ac:dyDescent="0.25">
      <c r="A37" s="946" t="s">
        <v>280</v>
      </c>
      <c r="B37" s="88">
        <v>32</v>
      </c>
      <c r="G37" s="6"/>
      <c r="H37" s="6"/>
      <c r="I37" s="6"/>
      <c r="J37" s="6"/>
      <c r="K37" s="6"/>
      <c r="L37" s="6"/>
      <c r="M37" s="6"/>
      <c r="N37" s="6"/>
      <c r="O37" s="6"/>
      <c r="P37" s="6"/>
      <c r="Q37" s="6"/>
      <c r="R37" s="6"/>
    </row>
    <row r="38" spans="1:18" x14ac:dyDescent="0.25">
      <c r="A38" s="946" t="s">
        <v>283</v>
      </c>
      <c r="B38" s="88">
        <v>31</v>
      </c>
      <c r="D38" s="170" t="s">
        <v>203</v>
      </c>
      <c r="E38" s="646" t="s">
        <v>1090</v>
      </c>
      <c r="G38" s="6"/>
      <c r="H38" s="6"/>
      <c r="I38" s="6"/>
      <c r="J38" s="6"/>
      <c r="K38" s="6"/>
      <c r="L38" s="6"/>
      <c r="M38" s="6"/>
      <c r="N38" s="6"/>
      <c r="O38" s="6"/>
      <c r="P38" s="6"/>
      <c r="Q38" s="6"/>
      <c r="R38" s="6"/>
    </row>
    <row r="39" spans="1:18" x14ac:dyDescent="0.25">
      <c r="A39" s="946" t="s">
        <v>520</v>
      </c>
      <c r="B39" s="88">
        <v>19</v>
      </c>
      <c r="D39" s="946" t="s">
        <v>17</v>
      </c>
      <c r="E39" s="88">
        <v>2883</v>
      </c>
      <c r="G39" s="6"/>
      <c r="H39" s="6"/>
      <c r="I39" s="6"/>
      <c r="J39" s="6"/>
      <c r="K39" s="6"/>
      <c r="R39"/>
    </row>
    <row r="40" spans="1:18" x14ac:dyDescent="0.25">
      <c r="A40" s="945" t="s">
        <v>204</v>
      </c>
      <c r="B40" s="90">
        <v>2515</v>
      </c>
      <c r="D40" s="946"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108" t="s">
        <v>287</v>
      </c>
      <c r="B2" s="1109"/>
      <c r="C2" s="1109"/>
      <c r="D2" s="56"/>
      <c r="E2" s="56"/>
      <c r="F2" s="182"/>
      <c r="BD2" s="57"/>
      <c r="BE2" s="57"/>
    </row>
    <row r="3" spans="1:57" s="16" customFormat="1" ht="18" customHeight="1" x14ac:dyDescent="0.25">
      <c r="A3" s="1110">
        <f>Report_Date</f>
        <v>43434</v>
      </c>
      <c r="B3" s="1111"/>
      <c r="C3" s="1111"/>
      <c r="D3" s="1111"/>
      <c r="E3" s="1111"/>
      <c r="F3" s="1185"/>
      <c r="G3" s="45"/>
      <c r="H3" s="45"/>
      <c r="I3" s="45"/>
      <c r="J3" s="45"/>
      <c r="K3" s="45"/>
      <c r="L3" s="45"/>
      <c r="M3" s="45"/>
      <c r="N3" s="45"/>
      <c r="O3" s="45"/>
      <c r="P3" s="45"/>
      <c r="Q3" s="58"/>
      <c r="R3" s="45"/>
      <c r="S3" s="45"/>
      <c r="BD3" s="58"/>
      <c r="BE3" s="58"/>
    </row>
    <row r="4" spans="1:57" s="645" customFormat="1" x14ac:dyDescent="0.25">
      <c r="A4" s="255"/>
      <c r="B4" s="796"/>
      <c r="C4" s="4"/>
      <c r="D4" s="4"/>
      <c r="E4" s="4"/>
    </row>
    <row r="5" spans="1:57" x14ac:dyDescent="0.25">
      <c r="A5" s="170" t="s">
        <v>329</v>
      </c>
      <c r="B5" s="646" t="s">
        <v>331</v>
      </c>
      <c r="C5"/>
      <c r="D5"/>
      <c r="E5"/>
      <c r="F5"/>
    </row>
    <row r="6" spans="1:57" x14ac:dyDescent="0.25">
      <c r="A6" s="51"/>
      <c r="B6" s="51"/>
      <c r="C6"/>
      <c r="D6"/>
      <c r="E6"/>
      <c r="F6"/>
    </row>
    <row r="7" spans="1:57" x14ac:dyDescent="0.25">
      <c r="A7" s="646"/>
      <c r="B7" s="646" t="s">
        <v>1086</v>
      </c>
      <c r="C7"/>
      <c r="D7"/>
      <c r="E7"/>
      <c r="F7"/>
    </row>
    <row r="8" spans="1:57" x14ac:dyDescent="0.25">
      <c r="A8" s="946" t="s">
        <v>425</v>
      </c>
      <c r="B8" s="197">
        <v>1592</v>
      </c>
      <c r="C8"/>
      <c r="D8"/>
      <c r="E8"/>
      <c r="F8"/>
    </row>
    <row r="9" spans="1:57" x14ac:dyDescent="0.25">
      <c r="A9" s="946" t="s">
        <v>273</v>
      </c>
      <c r="B9" s="197">
        <v>1784</v>
      </c>
      <c r="C9"/>
      <c r="D9"/>
      <c r="E9"/>
      <c r="F9"/>
    </row>
    <row r="10" spans="1:57" x14ac:dyDescent="0.25">
      <c r="A10" s="946" t="s">
        <v>278</v>
      </c>
      <c r="B10" s="197">
        <v>7322</v>
      </c>
      <c r="C10"/>
      <c r="D10"/>
      <c r="E10"/>
      <c r="F10"/>
    </row>
    <row r="11" spans="1:57" x14ac:dyDescent="0.25">
      <c r="A11" s="946" t="s">
        <v>520</v>
      </c>
      <c r="B11" s="197">
        <v>152</v>
      </c>
      <c r="C11"/>
      <c r="D11"/>
      <c r="E11"/>
      <c r="F11"/>
    </row>
    <row r="12" spans="1:57" x14ac:dyDescent="0.25">
      <c r="A12" s="946" t="s">
        <v>282</v>
      </c>
      <c r="B12" s="197">
        <v>400</v>
      </c>
      <c r="C12"/>
      <c r="D12"/>
      <c r="E12"/>
      <c r="F12"/>
    </row>
    <row r="13" spans="1:57" x14ac:dyDescent="0.25">
      <c r="A13" s="946" t="s">
        <v>280</v>
      </c>
      <c r="B13" s="197">
        <v>256</v>
      </c>
      <c r="C13"/>
      <c r="D13"/>
      <c r="E13"/>
      <c r="F13"/>
    </row>
    <row r="14" spans="1:57" x14ac:dyDescent="0.25">
      <c r="A14" s="946" t="s">
        <v>279</v>
      </c>
      <c r="B14" s="197">
        <v>480</v>
      </c>
      <c r="C14"/>
      <c r="D14"/>
      <c r="E14"/>
      <c r="F14"/>
    </row>
    <row r="15" spans="1:57" x14ac:dyDescent="0.25">
      <c r="A15" s="946" t="s">
        <v>574</v>
      </c>
      <c r="B15" s="197">
        <v>1762</v>
      </c>
      <c r="C15"/>
      <c r="D15"/>
      <c r="E15"/>
      <c r="F15"/>
    </row>
    <row r="16" spans="1:57" x14ac:dyDescent="0.25">
      <c r="A16" s="946" t="s">
        <v>283</v>
      </c>
      <c r="B16" s="197">
        <v>248</v>
      </c>
      <c r="C16"/>
      <c r="D16"/>
      <c r="E16"/>
      <c r="F16"/>
    </row>
    <row r="17" spans="1:6" x14ac:dyDescent="0.25">
      <c r="A17" s="946" t="s">
        <v>270</v>
      </c>
      <c r="B17" s="197">
        <v>4200</v>
      </c>
      <c r="C17"/>
      <c r="D17"/>
      <c r="E17"/>
      <c r="F17"/>
    </row>
    <row r="18" spans="1:6" x14ac:dyDescent="0.25">
      <c r="A18" s="946" t="s">
        <v>281</v>
      </c>
      <c r="B18" s="197">
        <v>400</v>
      </c>
      <c r="C18"/>
      <c r="D18"/>
      <c r="E18"/>
      <c r="F18"/>
    </row>
    <row r="19" spans="1:6" x14ac:dyDescent="0.25">
      <c r="A19" s="946" t="s">
        <v>1056</v>
      </c>
      <c r="B19" s="197">
        <v>480</v>
      </c>
      <c r="C19"/>
      <c r="D19"/>
      <c r="E19"/>
      <c r="F19"/>
    </row>
    <row r="20" spans="1:6" s="78" customFormat="1" x14ac:dyDescent="0.25">
      <c r="A20" s="946" t="s">
        <v>1072</v>
      </c>
      <c r="B20" s="197">
        <v>56</v>
      </c>
    </row>
    <row r="21" spans="1:6" x14ac:dyDescent="0.25">
      <c r="A21" s="946" t="s">
        <v>1074</v>
      </c>
      <c r="B21" s="197">
        <v>891</v>
      </c>
      <c r="C21"/>
      <c r="D21"/>
      <c r="E21"/>
      <c r="F21"/>
    </row>
    <row r="22" spans="1:6" x14ac:dyDescent="0.25">
      <c r="A22" s="946" t="s">
        <v>1085</v>
      </c>
      <c r="B22" s="197">
        <v>2883</v>
      </c>
      <c r="C22"/>
      <c r="D22"/>
      <c r="E22"/>
      <c r="F22"/>
    </row>
    <row r="23" spans="1:6" x14ac:dyDescent="0.25">
      <c r="A23" s="946" t="s">
        <v>204</v>
      </c>
      <c r="B23" s="197">
        <v>22906</v>
      </c>
      <c r="C23"/>
      <c r="D23"/>
      <c r="E23"/>
      <c r="F23"/>
    </row>
    <row r="24" spans="1:6" s="645" customFormat="1" x14ac:dyDescent="0.25">
      <c r="A24" s="787"/>
      <c r="B24" s="507"/>
    </row>
    <row r="25" spans="1:6" s="645" customFormat="1" x14ac:dyDescent="0.25">
      <c r="A25"/>
      <c r="B25"/>
    </row>
    <row r="26" spans="1:6" s="645" customFormat="1" x14ac:dyDescent="0.25">
      <c r="A26" s="417"/>
      <c r="B26" s="197"/>
    </row>
    <row r="27" spans="1:6" x14ac:dyDescent="0.25">
      <c r="A27" s="170" t="s">
        <v>10</v>
      </c>
      <c r="B27" s="646" t="s">
        <v>7</v>
      </c>
      <c r="C27"/>
      <c r="D27" s="782" t="s">
        <v>203</v>
      </c>
      <c r="E27" s="782" t="s">
        <v>742</v>
      </c>
    </row>
    <row r="28" spans="1:6" x14ac:dyDescent="0.25">
      <c r="A28" s="78"/>
      <c r="B28" s="78"/>
      <c r="C28"/>
      <c r="D28" s="417" t="s">
        <v>425</v>
      </c>
      <c r="E28" s="197">
        <v>1792</v>
      </c>
    </row>
    <row r="29" spans="1:6" x14ac:dyDescent="0.25">
      <c r="A29" s="198" t="s">
        <v>203</v>
      </c>
      <c r="B29" s="646" t="s">
        <v>742</v>
      </c>
      <c r="C29"/>
      <c r="D29" s="417" t="s">
        <v>273</v>
      </c>
      <c r="E29" s="197">
        <v>1736</v>
      </c>
    </row>
    <row r="30" spans="1:6" x14ac:dyDescent="0.25">
      <c r="A30" s="946" t="s">
        <v>15</v>
      </c>
      <c r="B30" s="197">
        <v>88</v>
      </c>
      <c r="C30"/>
      <c r="D30" s="417" t="s">
        <v>278</v>
      </c>
      <c r="E30" s="197">
        <f>8230-112</f>
        <v>8118</v>
      </c>
    </row>
    <row r="31" spans="1:6" x14ac:dyDescent="0.25">
      <c r="A31" s="946" t="s">
        <v>18</v>
      </c>
      <c r="B31" s="197">
        <v>150</v>
      </c>
      <c r="C31"/>
      <c r="D31" s="417" t="s">
        <v>520</v>
      </c>
      <c r="E31" s="197">
        <v>152</v>
      </c>
    </row>
    <row r="32" spans="1:6" x14ac:dyDescent="0.25">
      <c r="A32" s="946" t="s">
        <v>936</v>
      </c>
      <c r="B32" s="197">
        <v>489</v>
      </c>
      <c r="C32" s="6"/>
      <c r="D32" s="417" t="s">
        <v>282</v>
      </c>
      <c r="E32" s="197">
        <v>320</v>
      </c>
    </row>
    <row r="33" spans="1:6" x14ac:dyDescent="0.25">
      <c r="A33" s="946" t="s">
        <v>932</v>
      </c>
      <c r="B33" s="197">
        <v>611</v>
      </c>
      <c r="C33" s="51"/>
      <c r="D33" s="417" t="s">
        <v>280</v>
      </c>
      <c r="E33" s="197">
        <v>256</v>
      </c>
    </row>
    <row r="34" spans="1:6" x14ac:dyDescent="0.25">
      <c r="A34" s="946" t="s">
        <v>814</v>
      </c>
      <c r="B34" s="197">
        <v>868</v>
      </c>
      <c r="C34"/>
      <c r="D34" s="417" t="s">
        <v>279</v>
      </c>
      <c r="E34" s="197">
        <v>480</v>
      </c>
    </row>
    <row r="35" spans="1:6" x14ac:dyDescent="0.25">
      <c r="A35" s="946" t="s">
        <v>11</v>
      </c>
      <c r="B35" s="197">
        <v>916</v>
      </c>
      <c r="C35"/>
      <c r="D35" s="417" t="s">
        <v>574</v>
      </c>
      <c r="E35" s="197">
        <v>1762</v>
      </c>
    </row>
    <row r="36" spans="1:6" x14ac:dyDescent="0.25">
      <c r="A36" s="946" t="s">
        <v>14</v>
      </c>
      <c r="B36" s="197">
        <v>996</v>
      </c>
      <c r="C36"/>
      <c r="D36" s="417" t="s">
        <v>283</v>
      </c>
      <c r="E36" s="197">
        <v>248</v>
      </c>
    </row>
    <row r="37" spans="1:6" x14ac:dyDescent="0.25">
      <c r="A37" s="946" t="s">
        <v>13</v>
      </c>
      <c r="B37" s="197">
        <v>5816</v>
      </c>
      <c r="C37"/>
      <c r="D37" s="417" t="s">
        <v>270</v>
      </c>
      <c r="E37" s="197">
        <v>4200</v>
      </c>
    </row>
    <row r="38" spans="1:6" x14ac:dyDescent="0.25">
      <c r="A38" s="946" t="s">
        <v>17</v>
      </c>
      <c r="B38" s="197">
        <v>18831</v>
      </c>
      <c r="C38"/>
      <c r="D38" s="417" t="s">
        <v>281</v>
      </c>
      <c r="E38" s="197">
        <v>400</v>
      </c>
    </row>
    <row r="39" spans="1:6" x14ac:dyDescent="0.25">
      <c r="A39" s="946" t="s">
        <v>204</v>
      </c>
      <c r="B39" s="197">
        <v>28765</v>
      </c>
      <c r="C39"/>
      <c r="D39"/>
      <c r="E39"/>
      <c r="F39"/>
    </row>
    <row r="40" spans="1:6" x14ac:dyDescent="0.25">
      <c r="A40"/>
      <c r="B40"/>
      <c r="C40"/>
      <c r="D40"/>
      <c r="E40"/>
      <c r="F40"/>
    </row>
    <row r="41" spans="1:6" s="645" customFormat="1" x14ac:dyDescent="0.25"/>
    <row r="42" spans="1:6" s="645" customFormat="1" x14ac:dyDescent="0.25"/>
    <row r="43" spans="1:6" x14ac:dyDescent="0.25">
      <c r="A43" s="39" t="s">
        <v>329</v>
      </c>
      <c r="B43" s="645" t="s">
        <v>716</v>
      </c>
      <c r="C43"/>
      <c r="D43"/>
      <c r="E43"/>
      <c r="F43"/>
    </row>
    <row r="44" spans="1:6" x14ac:dyDescent="0.25">
      <c r="A44"/>
      <c r="B44"/>
      <c r="C44"/>
      <c r="D44"/>
      <c r="E44"/>
      <c r="F44"/>
    </row>
    <row r="45" spans="1:6" x14ac:dyDescent="0.25">
      <c r="A45" s="39" t="s">
        <v>1</v>
      </c>
      <c r="B45" t="s">
        <v>742</v>
      </c>
      <c r="C45"/>
      <c r="D45"/>
      <c r="E45"/>
      <c r="F45"/>
    </row>
    <row r="46" spans="1:6" x14ac:dyDescent="0.25">
      <c r="A46" s="645" t="s">
        <v>561</v>
      </c>
      <c r="B46" s="4">
        <v>489</v>
      </c>
      <c r="C46"/>
      <c r="D46"/>
      <c r="E46"/>
      <c r="F46"/>
    </row>
    <row r="47" spans="1:6" x14ac:dyDescent="0.25">
      <c r="A47" s="645" t="s">
        <v>14</v>
      </c>
      <c r="B47" s="4">
        <v>996</v>
      </c>
      <c r="C47"/>
      <c r="D47"/>
      <c r="E47"/>
      <c r="F47"/>
    </row>
    <row r="48" spans="1:6" x14ac:dyDescent="0.25">
      <c r="A48" s="645" t="s">
        <v>11</v>
      </c>
      <c r="B48" s="4">
        <v>912</v>
      </c>
      <c r="C48"/>
      <c r="D48"/>
      <c r="E48"/>
      <c r="F48"/>
    </row>
    <row r="49" spans="1:6" x14ac:dyDescent="0.25">
      <c r="A49" s="645" t="s">
        <v>932</v>
      </c>
      <c r="B49" s="4">
        <v>611</v>
      </c>
      <c r="C49"/>
      <c r="D49"/>
      <c r="E49"/>
      <c r="F49"/>
    </row>
    <row r="50" spans="1:6" x14ac:dyDescent="0.25">
      <c r="A50" s="645" t="s">
        <v>814</v>
      </c>
      <c r="B50" s="4">
        <v>868</v>
      </c>
      <c r="C50"/>
      <c r="D50"/>
      <c r="E50"/>
      <c r="F50"/>
    </row>
    <row r="51" spans="1:6" x14ac:dyDescent="0.25">
      <c r="A51" s="645" t="s">
        <v>13</v>
      </c>
      <c r="B51" s="4">
        <v>4464</v>
      </c>
      <c r="C51"/>
      <c r="D51"/>
      <c r="E51"/>
      <c r="F51"/>
    </row>
    <row r="52" spans="1:6" x14ac:dyDescent="0.25">
      <c r="A52" s="645" t="s">
        <v>15</v>
      </c>
      <c r="B52" s="4">
        <v>88</v>
      </c>
      <c r="C52"/>
      <c r="D52"/>
      <c r="E52"/>
      <c r="F52"/>
    </row>
    <row r="53" spans="1:6" x14ac:dyDescent="0.25">
      <c r="A53" s="645" t="s">
        <v>17</v>
      </c>
      <c r="B53" s="4">
        <v>18031</v>
      </c>
      <c r="C53"/>
      <c r="D53"/>
      <c r="E53"/>
      <c r="F53"/>
    </row>
    <row r="54" spans="1:6" x14ac:dyDescent="0.25">
      <c r="A54" s="645" t="s">
        <v>204</v>
      </c>
      <c r="B54" s="4">
        <v>26459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23" sqref="R23"/>
    </sheetView>
  </sheetViews>
  <sheetFormatPr defaultColWidth="9.140625" defaultRowHeight="15" x14ac:dyDescent="0.25"/>
  <cols>
    <col min="1" max="1" width="2.7109375" style="645"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5"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91"/>
      <c r="O1" s="1191"/>
      <c r="P1" s="893"/>
      <c r="AY1" s="57"/>
      <c r="AZ1" s="57"/>
    </row>
    <row r="2" spans="2:53" s="1" customFormat="1" ht="33" customHeight="1" x14ac:dyDescent="0.25">
      <c r="B2" s="1186" t="s">
        <v>743</v>
      </c>
      <c r="C2" s="1187"/>
      <c r="D2" s="1187"/>
      <c r="E2" s="1187"/>
      <c r="F2" s="1187"/>
      <c r="G2" s="1187"/>
      <c r="H2" s="1187"/>
      <c r="I2" s="79"/>
      <c r="J2" s="79"/>
      <c r="K2" s="79"/>
      <c r="L2" s="79"/>
      <c r="M2" s="79"/>
      <c r="N2" s="1192"/>
      <c r="O2" s="1192"/>
      <c r="P2" s="798"/>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88">
        <f>Report_Date</f>
        <v>43434</v>
      </c>
      <c r="C3" s="1189"/>
      <c r="D3" s="1189"/>
      <c r="E3" s="1189"/>
      <c r="F3" s="1189"/>
      <c r="G3" s="1189"/>
      <c r="H3" s="1189"/>
      <c r="I3" s="79"/>
      <c r="J3" s="79"/>
      <c r="K3" s="79"/>
      <c r="L3" s="79"/>
      <c r="M3" s="79"/>
      <c r="N3" s="1192"/>
      <c r="O3" s="1192"/>
      <c r="P3" s="798"/>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15"/>
      <c r="C4" s="1016"/>
      <c r="D4" s="1016"/>
      <c r="E4" s="1016"/>
      <c r="F4" s="1016"/>
      <c r="G4" s="1016"/>
      <c r="H4" s="1016"/>
      <c r="I4" s="79"/>
      <c r="J4" s="79"/>
      <c r="K4" s="79"/>
      <c r="L4" s="79"/>
      <c r="M4" s="79"/>
      <c r="N4" s="892"/>
      <c r="O4" s="892"/>
      <c r="P4" s="798"/>
      <c r="W4" s="645"/>
      <c r="X4" s="645"/>
      <c r="Y4" s="645"/>
      <c r="Z4" s="645"/>
      <c r="AA4" s="645"/>
      <c r="AB4" s="645"/>
      <c r="AC4" s="645"/>
      <c r="AD4" s="645"/>
      <c r="AE4" s="645"/>
      <c r="AF4" s="645"/>
      <c r="AG4" s="645"/>
      <c r="AH4" s="645"/>
      <c r="AI4" s="645"/>
      <c r="AJ4" s="645"/>
      <c r="AK4" s="645"/>
      <c r="AL4" s="645"/>
      <c r="AM4" s="645"/>
      <c r="AN4" s="645"/>
      <c r="AO4" s="645"/>
      <c r="AP4" s="645"/>
      <c r="AZ4" s="58"/>
      <c r="BA4" s="58"/>
    </row>
    <row r="5" spans="2:53" s="16" customFormat="1" ht="18" customHeight="1" x14ac:dyDescent="0.25">
      <c r="B5" s="890"/>
      <c r="C5" s="891"/>
      <c r="D5" s="891"/>
      <c r="E5" s="891"/>
      <c r="F5" s="891"/>
      <c r="G5" s="891"/>
      <c r="H5" s="891"/>
      <c r="I5" s="79"/>
      <c r="J5" s="79"/>
      <c r="K5" s="79"/>
      <c r="L5" s="79"/>
      <c r="M5" s="79"/>
      <c r="N5" s="892"/>
      <c r="O5" s="892"/>
      <c r="P5" s="798"/>
      <c r="W5" s="645"/>
      <c r="X5" s="645"/>
      <c r="Y5" s="645"/>
      <c r="Z5" s="645"/>
      <c r="AA5" s="645"/>
      <c r="AB5" s="645"/>
      <c r="AC5" s="645"/>
      <c r="AD5" s="645"/>
      <c r="AE5" s="645"/>
      <c r="AF5" s="645"/>
      <c r="AG5" s="645"/>
      <c r="AH5" s="645"/>
      <c r="AI5" s="645"/>
      <c r="AJ5" s="645"/>
      <c r="AK5" s="645"/>
      <c r="AL5" s="645"/>
      <c r="AM5" s="645"/>
      <c r="AN5" s="645"/>
      <c r="AO5" s="645"/>
      <c r="AP5" s="645"/>
      <c r="AZ5" s="58"/>
      <c r="BA5" s="58"/>
    </row>
    <row r="6" spans="2:53" ht="24.75" customHeight="1" x14ac:dyDescent="0.25">
      <c r="B6" s="378"/>
      <c r="C6" s="38"/>
      <c r="D6" s="38"/>
      <c r="E6" s="38"/>
      <c r="F6" s="38"/>
      <c r="G6" s="38"/>
      <c r="H6" s="38"/>
      <c r="I6" s="999"/>
      <c r="J6" s="1190" t="s">
        <v>206</v>
      </c>
      <c r="K6" s="1190"/>
      <c r="L6" s="1190"/>
      <c r="M6" s="1190" t="s">
        <v>226</v>
      </c>
      <c r="N6" s="1190"/>
      <c r="O6" s="1190"/>
      <c r="P6" s="859"/>
    </row>
    <row r="7" spans="2:53" ht="21" customHeight="1" x14ac:dyDescent="0.25">
      <c r="B7" s="378"/>
      <c r="C7" s="38"/>
      <c r="D7" s="38"/>
      <c r="E7" s="38"/>
      <c r="F7" s="38"/>
      <c r="G7" s="38"/>
      <c r="H7" s="38"/>
      <c r="I7" s="1000" t="s">
        <v>1</v>
      </c>
      <c r="J7" s="1001" t="s">
        <v>530</v>
      </c>
      <c r="K7" s="1001" t="s">
        <v>533</v>
      </c>
      <c r="L7" s="1001" t="s">
        <v>531</v>
      </c>
      <c r="M7" s="1002" t="s">
        <v>550</v>
      </c>
      <c r="N7" s="1003" t="s">
        <v>551</v>
      </c>
      <c r="O7" s="1004" t="s">
        <v>532</v>
      </c>
      <c r="P7" s="860"/>
      <c r="R7" s="16"/>
      <c r="S7" s="17"/>
      <c r="T7" s="16"/>
      <c r="U7" s="16"/>
    </row>
    <row r="8" spans="2:53" ht="21" customHeight="1" x14ac:dyDescent="0.25">
      <c r="B8" s="378"/>
      <c r="C8" s="38"/>
      <c r="D8" s="38"/>
      <c r="E8" s="38"/>
      <c r="F8" s="38"/>
      <c r="G8" s="38"/>
      <c r="H8" s="38"/>
      <c r="I8" s="1005" t="s">
        <v>561</v>
      </c>
      <c r="J8" s="1006">
        <f>SUMIFS(Camplist_HH,Camplist_Township,'Shelter Coverage &amp; Gaps'!$I8,CampList_Status,"Open")</f>
        <v>415</v>
      </c>
      <c r="K8" s="1007">
        <f>SUMIFS(Camplist_Popl,Camplist_Township,'Shelter Coverage &amp; Gaps'!$I8,CampList_Status,"Open")</f>
        <v>1050</v>
      </c>
      <c r="L8" s="1006">
        <f>COUNTIFS(Camplist_Township,'Shelter Coverage &amp; Gaps'!I8,CampList_Status,"open")</f>
        <v>1</v>
      </c>
      <c r="M8" s="1008">
        <f ca="1">'Shelter Progress'!I6</f>
        <v>1072.7710843373493</v>
      </c>
      <c r="N8" s="1009">
        <f ca="1">'Shelter Progress'!L6</f>
        <v>0</v>
      </c>
      <c r="O8" s="1010">
        <f t="shared" ref="O8:O14" ca="1" si="0">IFERROR(M8/(M8+N8),0)</f>
        <v>1</v>
      </c>
      <c r="P8" s="856"/>
      <c r="T8" s="18"/>
      <c r="U8" s="16"/>
    </row>
    <row r="9" spans="2:53" ht="21" customHeight="1" x14ac:dyDescent="0.25">
      <c r="B9" s="378"/>
      <c r="C9" s="38"/>
      <c r="D9" s="38"/>
      <c r="E9" s="38"/>
      <c r="F9" s="38"/>
      <c r="G9" s="38"/>
      <c r="H9" s="38"/>
      <c r="I9" s="1005" t="s">
        <v>14</v>
      </c>
      <c r="J9" s="1006">
        <f>SUMIFS(Camplist_HH,Camplist_Township,'Shelter Coverage &amp; Gaps'!$I9,CampList_Status,"Open")</f>
        <v>85</v>
      </c>
      <c r="K9" s="1007">
        <f>SUMIFS(Camplist_Popl,Camplist_Township,'Shelter Coverage &amp; Gaps'!$I9,CampList_Status,"Open")</f>
        <v>546</v>
      </c>
      <c r="L9" s="1006">
        <f>COUNTIFS(Camplist_Township,'Shelter Coverage &amp; Gaps'!I9,CampList_Status,"open")</f>
        <v>1</v>
      </c>
      <c r="M9" s="1008">
        <f ca="1">'Shelter Progress'!I7</f>
        <v>462.49411764705883</v>
      </c>
      <c r="N9" s="1009">
        <f ca="1">'Shelter Progress'!L7</f>
        <v>83.505882352941171</v>
      </c>
      <c r="O9" s="1010">
        <f t="shared" ca="1" si="0"/>
        <v>0.84705882352941175</v>
      </c>
      <c r="P9" s="856"/>
    </row>
    <row r="10" spans="2:53" ht="21" customHeight="1" x14ac:dyDescent="0.25">
      <c r="B10" s="378"/>
      <c r="C10" s="38"/>
      <c r="D10" s="38"/>
      <c r="E10" s="38"/>
      <c r="F10" s="38"/>
      <c r="G10" s="38"/>
      <c r="H10" s="38"/>
      <c r="I10" s="1005" t="s">
        <v>814</v>
      </c>
      <c r="J10" s="1006">
        <f>SUMIFS(Camplist_HH,Camplist_Township,'Shelter Coverage &amp; Gaps'!$I10,CampList_Status,"Open")</f>
        <v>655</v>
      </c>
      <c r="K10" s="1007">
        <f>SUMIFS(Camplist_Popl,Camplist_Township,'Shelter Coverage &amp; Gaps'!$I10,CampList_Status,"Open")</f>
        <v>2690</v>
      </c>
      <c r="L10" s="1006">
        <f>COUNTIFS(Camplist_Township,'Shelter Coverage &amp; Gaps'!I10,CampList_Status,"open")</f>
        <v>1</v>
      </c>
      <c r="M10" s="1008">
        <f ca="1">'Shelter Progress'!I8</f>
        <v>3400.488549618321</v>
      </c>
      <c r="N10" s="1009">
        <f ca="1">'Shelter Progress'!L8</f>
        <v>0</v>
      </c>
      <c r="O10" s="1010">
        <f t="shared" ca="1" si="0"/>
        <v>1</v>
      </c>
      <c r="P10" s="856"/>
    </row>
    <row r="11" spans="2:53" ht="21" customHeight="1" x14ac:dyDescent="0.25">
      <c r="B11" s="378"/>
      <c r="C11" s="38"/>
      <c r="D11" s="38"/>
      <c r="E11" s="38"/>
      <c r="F11" s="38"/>
      <c r="G11" s="38"/>
      <c r="H11" s="38"/>
      <c r="I11" s="1005" t="s">
        <v>13</v>
      </c>
      <c r="J11" s="1006">
        <f>SUMIFS(Camplist_HH,Camplist_Township,'Shelter Coverage &amp; Gaps'!$I11,CampList_Status,"Open")</f>
        <v>5124</v>
      </c>
      <c r="K11" s="1007">
        <f>SUMIFS(Camplist_Popl,Camplist_Township,'Shelter Coverage &amp; Gaps'!$I11,CampList_Status,"Open")</f>
        <v>22299</v>
      </c>
      <c r="L11" s="1006">
        <f>COUNTIFS(Camplist_Township,'Shelter Coverage &amp; Gaps'!I11,CampList_Status,"open")</f>
        <v>5</v>
      </c>
      <c r="M11" s="1008">
        <f ca="1">'Shelter Progress'!I9</f>
        <v>12004.820083682009</v>
      </c>
      <c r="N11" s="1009">
        <f ca="1">'Shelter Progress'!L9</f>
        <v>2815.1799163179912</v>
      </c>
      <c r="O11" s="1010">
        <f t="shared" ca="1" si="0"/>
        <v>0.81004184100418408</v>
      </c>
      <c r="P11" s="856"/>
    </row>
    <row r="12" spans="2:53" ht="21" customHeight="1" x14ac:dyDescent="0.25">
      <c r="B12" s="378"/>
      <c r="C12" s="38"/>
      <c r="D12" s="38"/>
      <c r="E12" s="38"/>
      <c r="F12" s="38"/>
      <c r="G12" s="38"/>
      <c r="H12" s="38"/>
      <c r="I12" s="1005" t="s">
        <v>15</v>
      </c>
      <c r="J12" s="1006">
        <f>SUMIFS(Camplist_HH,Camplist_Township,'Shelter Coverage &amp; Gaps'!$I12,CampList_Status,"Open")</f>
        <v>0</v>
      </c>
      <c r="K12" s="1007">
        <f>SUMIFS(Camplist_Popl,Camplist_Township,'Shelter Coverage &amp; Gaps'!$I12,CampList_Status,"Open")</f>
        <v>0</v>
      </c>
      <c r="L12" s="1006">
        <f>COUNTIFS(Camplist_Township,'Shelter Coverage &amp; Gaps'!I12,CampList_Status,"open")</f>
        <v>0</v>
      </c>
      <c r="M12" s="1008"/>
      <c r="N12" s="1009"/>
      <c r="O12" s="1010">
        <f>IFERROR(M12/(M12+N12),0)</f>
        <v>0</v>
      </c>
      <c r="P12" s="856"/>
    </row>
    <row r="13" spans="2:53" ht="21" customHeight="1" x14ac:dyDescent="0.25">
      <c r="B13" s="378"/>
      <c r="C13" s="38"/>
      <c r="D13" s="38"/>
      <c r="E13" s="38"/>
      <c r="F13" s="38"/>
      <c r="G13" s="38"/>
      <c r="H13" s="38"/>
      <c r="I13" s="1005" t="s">
        <v>17</v>
      </c>
      <c r="J13" s="1006">
        <f>SUMIFS(Camplist_HH,Camplist_Township,'Shelter Coverage &amp; Gaps'!$I13,CampList_Status,"Open")</f>
        <v>18819</v>
      </c>
      <c r="K13" s="1007">
        <f>SUMIFS(Camplist_Popl,Camplist_Township,'Shelter Coverage &amp; Gaps'!$I13,CampList_Status,"Open")</f>
        <v>100848</v>
      </c>
      <c r="L13" s="1006">
        <f>COUNTIFS(Camplist_Township,'Shelter Coverage &amp; Gaps'!I13,CampList_Status,"open")</f>
        <v>16</v>
      </c>
      <c r="M13" s="1008">
        <f ca="1">'Shelter Progress'!I10</f>
        <v>76395.615494978483</v>
      </c>
      <c r="N13" s="1009">
        <f ca="1">'Shelter Progress'!L10</f>
        <v>24452.384505021517</v>
      </c>
      <c r="O13" s="1010">
        <f t="shared" ca="1" si="0"/>
        <v>0.75753228120516503</v>
      </c>
      <c r="P13" s="856"/>
    </row>
    <row r="14" spans="2:53" ht="26.25" customHeight="1" x14ac:dyDescent="0.25">
      <c r="B14" s="378"/>
      <c r="C14" s="38"/>
      <c r="D14" s="38"/>
      <c r="E14" s="38"/>
      <c r="F14" s="38"/>
      <c r="G14" s="38"/>
      <c r="H14" s="38"/>
      <c r="I14" s="1005" t="s">
        <v>5</v>
      </c>
      <c r="J14" s="1011">
        <f>SUM(J8:J13)</f>
        <v>25098</v>
      </c>
      <c r="K14" s="1011">
        <f>SUM(K8:K13)</f>
        <v>127433</v>
      </c>
      <c r="L14" s="1011">
        <f>SUM(L8:L13)</f>
        <v>24</v>
      </c>
      <c r="M14" s="1012">
        <f ca="1">'Shelter Progress'!I11</f>
        <v>94113.915531219493</v>
      </c>
      <c r="N14" s="1013">
        <f ca="1">'Shelter Progress'!L11</f>
        <v>25840.084468780507</v>
      </c>
      <c r="O14" s="1014">
        <f t="shared" ca="1" si="0"/>
        <v>0.78458338639161251</v>
      </c>
      <c r="P14" s="857"/>
    </row>
    <row r="15" spans="2:53" s="645" customFormat="1" ht="12.75" customHeight="1" x14ac:dyDescent="0.25">
      <c r="B15" s="378"/>
      <c r="C15" s="38"/>
      <c r="D15" s="38"/>
      <c r="E15" s="38"/>
      <c r="F15" s="38"/>
      <c r="G15" s="38"/>
      <c r="H15" s="38"/>
      <c r="I15" s="38"/>
      <c r="J15" s="38"/>
      <c r="K15" s="38"/>
      <c r="L15" s="38"/>
      <c r="M15" s="38"/>
      <c r="N15" s="38"/>
      <c r="O15" s="38"/>
      <c r="P15" s="379"/>
    </row>
    <row r="16" spans="2:53" s="645" customFormat="1" ht="12.75" customHeight="1" x14ac:dyDescent="0.25">
      <c r="B16" s="378"/>
      <c r="C16" s="38"/>
      <c r="D16" s="38"/>
      <c r="E16" s="38"/>
      <c r="F16" s="38"/>
      <c r="G16" s="38"/>
      <c r="H16" s="1"/>
      <c r="I16" s="38"/>
      <c r="J16" s="38"/>
      <c r="K16" s="38"/>
      <c r="L16" s="38"/>
      <c r="M16" s="38"/>
      <c r="N16" s="38"/>
      <c r="O16" s="38"/>
      <c r="P16" s="379"/>
    </row>
    <row r="17" spans="2:16" ht="26.25" customHeight="1" x14ac:dyDescent="0.25">
      <c r="B17" s="780"/>
      <c r="C17" s="781"/>
      <c r="D17" s="781"/>
      <c r="E17" s="781"/>
      <c r="F17" s="781"/>
      <c r="G17" s="781"/>
      <c r="H17" s="781"/>
      <c r="I17" s="38"/>
      <c r="J17" s="38"/>
      <c r="K17" s="38"/>
      <c r="L17" s="38"/>
      <c r="M17" s="38"/>
      <c r="N17" s="38"/>
      <c r="O17" s="38"/>
      <c r="P17" s="379"/>
    </row>
    <row r="18" spans="2:16" ht="12.75" customHeight="1" x14ac:dyDescent="0.25">
      <c r="B18" s="780"/>
      <c r="C18" s="781"/>
      <c r="D18" s="781"/>
      <c r="E18" s="781"/>
      <c r="F18" s="781"/>
      <c r="G18" s="781"/>
      <c r="H18" s="781"/>
      <c r="I18" s="38"/>
      <c r="J18" s="38"/>
      <c r="K18" s="38"/>
      <c r="L18" s="38"/>
      <c r="M18" s="38"/>
      <c r="N18" s="38"/>
      <c r="O18" s="38"/>
      <c r="P18" s="379"/>
    </row>
    <row r="19" spans="2:16" ht="12.75" customHeight="1" x14ac:dyDescent="0.25">
      <c r="B19" s="780"/>
      <c r="C19" s="781"/>
      <c r="D19" s="781"/>
      <c r="E19" s="781"/>
      <c r="F19" s="781"/>
      <c r="G19" s="781"/>
      <c r="H19" s="781"/>
      <c r="I19" s="38"/>
      <c r="J19" s="38"/>
      <c r="K19" s="38"/>
      <c r="L19" s="38"/>
      <c r="M19" s="38"/>
      <c r="N19" s="38"/>
      <c r="O19" s="38"/>
      <c r="P19" s="379"/>
    </row>
    <row r="20" spans="2:16" ht="12.75" customHeight="1" x14ac:dyDescent="0.25">
      <c r="B20" s="780"/>
      <c r="C20" s="781"/>
      <c r="D20" s="781"/>
      <c r="E20" s="781"/>
      <c r="F20" s="781"/>
      <c r="G20" s="781"/>
      <c r="H20" s="781"/>
      <c r="I20" s="38"/>
      <c r="J20" s="38"/>
      <c r="K20" s="38"/>
      <c r="L20" s="38"/>
      <c r="M20" s="38"/>
      <c r="N20" s="38"/>
      <c r="O20" s="38"/>
      <c r="P20" s="379"/>
    </row>
    <row r="21" spans="2:16" ht="12.75" customHeight="1" x14ac:dyDescent="0.25">
      <c r="B21" s="780"/>
      <c r="C21" s="781"/>
      <c r="D21" s="781"/>
      <c r="E21" s="781"/>
      <c r="F21" s="781"/>
      <c r="G21" s="781"/>
      <c r="H21" s="781"/>
      <c r="I21" s="38"/>
      <c r="J21" s="38"/>
      <c r="K21" s="38"/>
      <c r="L21" s="38"/>
      <c r="M21" s="38"/>
      <c r="N21" s="38"/>
      <c r="O21" s="38"/>
      <c r="P21" s="379"/>
    </row>
    <row r="22" spans="2:16" ht="12.75" customHeight="1" x14ac:dyDescent="0.25">
      <c r="B22" s="780"/>
      <c r="C22" s="781"/>
      <c r="D22" s="781"/>
      <c r="E22" s="781"/>
      <c r="F22" s="781"/>
      <c r="G22" s="781"/>
      <c r="H22" s="781"/>
      <c r="I22" s="38"/>
      <c r="J22" s="38"/>
      <c r="K22" s="38"/>
      <c r="L22" s="38"/>
      <c r="M22" s="38"/>
      <c r="N22" s="38"/>
      <c r="O22" s="1"/>
      <c r="P22" s="153"/>
    </row>
    <row r="23" spans="2:16" ht="12.75" customHeight="1" x14ac:dyDescent="0.25">
      <c r="B23" s="780"/>
      <c r="C23" s="781"/>
      <c r="D23" s="781"/>
      <c r="E23" s="781"/>
      <c r="F23" s="781"/>
      <c r="G23" s="781"/>
      <c r="H23" s="781"/>
      <c r="I23" s="38"/>
      <c r="J23" s="38"/>
      <c r="K23" s="38"/>
      <c r="L23" s="38"/>
      <c r="M23" s="38"/>
      <c r="N23" s="38"/>
      <c r="O23" s="38"/>
      <c r="P23" s="379"/>
    </row>
    <row r="24" spans="2:16" ht="12.75" customHeight="1" x14ac:dyDescent="0.25">
      <c r="B24" s="780"/>
      <c r="C24" s="781"/>
      <c r="D24" s="781"/>
      <c r="E24" s="781"/>
      <c r="F24" s="781"/>
      <c r="G24" s="781"/>
      <c r="H24" s="781"/>
      <c r="I24" s="38"/>
      <c r="J24" s="38"/>
      <c r="K24" s="38"/>
      <c r="L24" s="38"/>
      <c r="M24" s="38"/>
      <c r="N24" s="38"/>
      <c r="O24" s="38"/>
      <c r="P24" s="379"/>
    </row>
    <row r="25" spans="2:16" ht="12.75" customHeight="1" x14ac:dyDescent="0.25">
      <c r="B25" s="780"/>
      <c r="C25" s="781"/>
      <c r="D25" s="781"/>
      <c r="E25" s="781"/>
      <c r="F25" s="781"/>
      <c r="G25" s="781"/>
      <c r="H25" s="781"/>
      <c r="I25" s="38"/>
      <c r="J25" s="38"/>
      <c r="K25" s="38"/>
      <c r="L25" s="38"/>
      <c r="M25" s="38"/>
      <c r="N25" s="38"/>
      <c r="O25" s="38"/>
      <c r="P25" s="379"/>
    </row>
    <row r="26" spans="2:16" ht="14.45" customHeight="1" x14ac:dyDescent="0.25">
      <c r="B26" s="780"/>
      <c r="C26" s="781"/>
      <c r="D26" s="781"/>
      <c r="E26" s="781"/>
      <c r="F26" s="781"/>
      <c r="G26" s="781"/>
      <c r="H26" s="781"/>
      <c r="I26" s="38"/>
      <c r="J26" s="38"/>
      <c r="K26" s="38"/>
      <c r="L26" s="38"/>
      <c r="M26" s="38"/>
      <c r="N26" s="38"/>
      <c r="O26" s="38"/>
      <c r="P26" s="379"/>
    </row>
    <row r="27" spans="2:16" ht="15" customHeight="1" x14ac:dyDescent="0.25">
      <c r="B27" s="780"/>
      <c r="C27" s="781"/>
      <c r="D27" s="781"/>
      <c r="E27" s="781"/>
      <c r="F27" s="781"/>
      <c r="G27" s="781"/>
      <c r="H27" s="781"/>
      <c r="I27" s="38"/>
      <c r="J27" s="38"/>
      <c r="K27" s="38"/>
      <c r="L27" s="38"/>
      <c r="M27" s="38"/>
      <c r="N27" s="38"/>
      <c r="O27" s="38"/>
      <c r="P27" s="379"/>
    </row>
    <row r="28" spans="2:16" x14ac:dyDescent="0.25">
      <c r="B28" s="780"/>
      <c r="C28" s="781"/>
      <c r="D28" s="781"/>
      <c r="E28" s="781"/>
      <c r="F28" s="781"/>
      <c r="G28" s="781"/>
      <c r="H28" s="781"/>
      <c r="I28" s="38"/>
      <c r="J28" s="38"/>
      <c r="K28" s="38"/>
      <c r="L28" s="38"/>
      <c r="M28" s="38"/>
      <c r="N28" s="38"/>
      <c r="O28" s="38"/>
      <c r="P28" s="379"/>
    </row>
    <row r="29" spans="2:16" x14ac:dyDescent="0.25">
      <c r="B29" s="780"/>
      <c r="C29" s="781"/>
      <c r="D29" s="781"/>
      <c r="E29" s="781"/>
      <c r="F29" s="781"/>
      <c r="G29" s="781"/>
      <c r="H29" s="781"/>
      <c r="I29" s="38"/>
      <c r="J29" s="38"/>
      <c r="K29" s="38"/>
      <c r="L29" s="38"/>
      <c r="M29" s="38"/>
      <c r="N29" s="38"/>
      <c r="O29" s="38"/>
      <c r="P29" s="379"/>
    </row>
    <row r="30" spans="2:16" x14ac:dyDescent="0.25">
      <c r="B30" s="780"/>
      <c r="C30" s="781"/>
      <c r="D30" s="781"/>
      <c r="E30" s="781"/>
      <c r="F30" s="781"/>
      <c r="G30" s="781"/>
      <c r="H30" s="781"/>
      <c r="I30" s="38"/>
      <c r="J30" s="38"/>
      <c r="K30" s="38"/>
      <c r="L30" s="38"/>
      <c r="M30" s="38"/>
      <c r="N30" s="38"/>
      <c r="O30" s="38"/>
      <c r="P30" s="379"/>
    </row>
    <row r="31" spans="2:16" x14ac:dyDescent="0.25">
      <c r="B31" s="780"/>
      <c r="C31" s="781"/>
      <c r="D31" s="781"/>
      <c r="E31" s="781"/>
      <c r="F31" s="781"/>
      <c r="G31" s="781"/>
      <c r="H31" s="781"/>
      <c r="I31" s="38"/>
      <c r="J31" s="38"/>
      <c r="K31" s="38"/>
      <c r="L31" s="38"/>
      <c r="M31" s="38"/>
      <c r="N31" s="38"/>
      <c r="O31" s="38"/>
      <c r="P31" s="379"/>
    </row>
    <row r="32" spans="2:16" x14ac:dyDescent="0.25">
      <c r="B32" s="780"/>
      <c r="C32" s="781"/>
      <c r="D32" s="781"/>
      <c r="E32" s="781"/>
      <c r="F32" s="781"/>
      <c r="G32" s="781"/>
      <c r="H32" s="781"/>
      <c r="I32" s="38"/>
      <c r="J32" s="38"/>
      <c r="K32" s="38"/>
      <c r="L32" s="38"/>
      <c r="M32" s="38"/>
      <c r="N32" s="38"/>
      <c r="O32" s="38"/>
      <c r="P32" s="379"/>
    </row>
    <row r="33" spans="2:23" x14ac:dyDescent="0.25">
      <c r="B33" s="780"/>
      <c r="C33" s="781"/>
      <c r="D33" s="781"/>
      <c r="E33" s="781"/>
      <c r="F33" s="781"/>
      <c r="G33" s="781"/>
      <c r="H33" s="781"/>
      <c r="I33" s="38"/>
      <c r="J33" s="38"/>
      <c r="K33" s="38"/>
      <c r="L33" s="38"/>
      <c r="M33" s="38"/>
      <c r="N33" s="38"/>
      <c r="O33" s="38"/>
      <c r="P33" s="379"/>
    </row>
    <row r="34" spans="2:23" x14ac:dyDescent="0.25">
      <c r="B34" s="780"/>
      <c r="C34" s="781"/>
      <c r="D34" s="781"/>
      <c r="E34" s="781"/>
      <c r="F34" s="781"/>
      <c r="G34" s="781"/>
      <c r="H34" s="781"/>
      <c r="I34" s="38"/>
      <c r="J34" s="38"/>
      <c r="K34" s="38"/>
      <c r="L34" s="38"/>
      <c r="M34" s="38"/>
      <c r="N34" s="38"/>
      <c r="O34" s="38"/>
      <c r="P34" s="379"/>
    </row>
    <row r="35" spans="2:23" ht="75" customHeight="1" x14ac:dyDescent="0.25">
      <c r="B35" s="780"/>
      <c r="C35" s="781"/>
      <c r="D35" s="781"/>
      <c r="E35" s="781"/>
      <c r="F35" s="781"/>
      <c r="G35" s="781"/>
      <c r="H35" s="781"/>
      <c r="I35" s="38"/>
      <c r="J35" s="38"/>
      <c r="K35" s="38"/>
      <c r="L35" s="38"/>
      <c r="M35" s="38"/>
      <c r="N35" s="38"/>
      <c r="O35" s="38"/>
      <c r="P35" s="379"/>
    </row>
    <row r="36" spans="2:23" x14ac:dyDescent="0.25">
      <c r="B36" s="378"/>
      <c r="C36" s="38"/>
      <c r="D36" s="38"/>
      <c r="E36" s="38"/>
      <c r="F36" s="38"/>
      <c r="G36" s="38"/>
      <c r="H36" s="38"/>
      <c r="I36" s="38"/>
      <c r="J36" s="38"/>
      <c r="K36" s="38"/>
      <c r="L36" s="38"/>
      <c r="M36" s="38"/>
      <c r="N36" s="38"/>
      <c r="O36" s="38"/>
      <c r="P36" s="379"/>
      <c r="V36" s="50"/>
      <c r="W36" s="50"/>
    </row>
    <row r="37" spans="2:23" x14ac:dyDescent="0.25">
      <c r="B37" s="378"/>
      <c r="C37" s="38"/>
      <c r="D37" s="38"/>
      <c r="E37" s="38"/>
      <c r="F37" s="38"/>
      <c r="G37" s="38"/>
      <c r="H37" s="38"/>
      <c r="I37" s="38"/>
      <c r="J37" s="38"/>
      <c r="K37" s="38"/>
      <c r="L37" s="38"/>
      <c r="M37" s="38"/>
      <c r="N37" s="38"/>
      <c r="O37" s="38"/>
      <c r="P37" s="379"/>
      <c r="T37" s="21"/>
      <c r="U37" s="22"/>
    </row>
    <row r="38" spans="2:23" x14ac:dyDescent="0.25">
      <c r="B38" s="858"/>
      <c r="C38" s="380"/>
      <c r="D38" s="380"/>
      <c r="E38" s="380"/>
      <c r="F38" s="380"/>
      <c r="G38" s="380"/>
      <c r="H38" s="380"/>
      <c r="I38" s="380"/>
      <c r="J38" s="380"/>
      <c r="K38" s="380"/>
      <c r="L38" s="380"/>
      <c r="M38" s="380"/>
      <c r="N38" s="380"/>
      <c r="O38" s="380"/>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00"/>
      <c r="C3" s="600">
        <v>9</v>
      </c>
      <c r="D3" s="601">
        <v>9</v>
      </c>
    </row>
    <row r="4" spans="1:11" ht="15" x14ac:dyDescent="0.25">
      <c r="A4" s="241" t="s">
        <v>688</v>
      </c>
      <c r="B4" s="600">
        <v>2</v>
      </c>
      <c r="C4" s="600">
        <v>13</v>
      </c>
      <c r="D4" s="601">
        <v>15</v>
      </c>
    </row>
    <row r="5" spans="1:11" ht="15" x14ac:dyDescent="0.25">
      <c r="A5" s="241" t="s">
        <v>686</v>
      </c>
      <c r="B5" s="600"/>
      <c r="C5" s="600">
        <v>10</v>
      </c>
      <c r="D5" s="601">
        <v>10</v>
      </c>
    </row>
    <row r="6" spans="1:11" ht="15" x14ac:dyDescent="0.25">
      <c r="A6" s="241" t="s">
        <v>689</v>
      </c>
      <c r="B6" s="600"/>
      <c r="C6" s="600">
        <v>8</v>
      </c>
      <c r="D6" s="601">
        <v>8</v>
      </c>
    </row>
    <row r="7" spans="1:11" ht="15.75" thickBot="1" x14ac:dyDescent="0.3">
      <c r="A7" s="243" t="s">
        <v>204</v>
      </c>
      <c r="B7" s="602">
        <v>2</v>
      </c>
      <c r="C7" s="602">
        <v>40</v>
      </c>
      <c r="D7" s="603">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81"/>
  <sheetViews>
    <sheetView showZeros="0" zoomScale="85" zoomScaleNormal="85" workbookViewId="0">
      <selection activeCell="H15" sqref="H15"/>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5" customWidth="1"/>
    <col min="11" max="11" width="12.7109375" style="645"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5" customWidth="1"/>
    <col min="24" max="28" width="12.5703125" style="645" customWidth="1"/>
    <col min="29" max="29" width="10.7109375" style="645" bestFit="1" customWidth="1"/>
    <col min="30" max="32" width="12.140625" style="44" hidden="1" customWidth="1"/>
    <col min="33" max="33" width="9.28515625" style="1058" hidden="1" customWidth="1"/>
    <col min="34" max="35" width="12.140625" style="44" hidden="1" customWidth="1"/>
    <col min="36" max="36" width="9.42578125" style="44" hidden="1" customWidth="1"/>
    <col min="37" max="37" width="12.140625" style="44" hidden="1" customWidth="1"/>
    <col min="38" max="38" width="15" style="44" hidden="1" customWidth="1"/>
    <col min="39" max="45" width="12.140625" style="44" hidden="1" customWidth="1"/>
    <col min="46" max="46" width="15.7109375" bestFit="1"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Summary'!O3</f>
        <v>1</v>
      </c>
      <c r="M1" s="158"/>
      <c r="N1" s="158"/>
      <c r="O1" s="158"/>
      <c r="P1" s="158"/>
      <c r="Q1" s="158"/>
      <c r="R1" s="200"/>
      <c r="S1" s="200"/>
      <c r="T1" s="407"/>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108" t="s">
        <v>744</v>
      </c>
      <c r="B2" s="1109"/>
      <c r="C2" s="1109"/>
      <c r="D2" s="1109"/>
      <c r="E2" s="1109"/>
      <c r="F2" s="1109"/>
      <c r="G2" s="1109"/>
      <c r="H2" s="1109"/>
      <c r="I2" s="1109"/>
      <c r="J2" s="791"/>
      <c r="K2" s="791"/>
      <c r="L2" s="79"/>
      <c r="M2" s="79"/>
      <c r="N2" s="79"/>
      <c r="O2" s="79"/>
      <c r="P2" s="79"/>
      <c r="Q2" s="79"/>
      <c r="R2" s="202"/>
      <c r="S2" s="154"/>
      <c r="T2" s="408"/>
      <c r="U2" s="154"/>
      <c r="V2" s="154"/>
      <c r="W2" s="154"/>
      <c r="X2" s="154"/>
      <c r="Y2" s="154"/>
      <c r="Z2" s="154"/>
      <c r="AA2" s="154"/>
      <c r="AB2" s="154"/>
      <c r="AC2" s="154"/>
      <c r="AD2" s="154"/>
      <c r="AE2" s="154"/>
      <c r="AF2" s="154"/>
      <c r="AG2" s="1054"/>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195">
        <f>Report_Date</f>
        <v>43434</v>
      </c>
      <c r="B3" s="1196"/>
      <c r="C3" s="1196"/>
      <c r="D3" s="1196"/>
      <c r="E3" s="1196"/>
      <c r="F3" s="1196"/>
      <c r="G3" s="1196"/>
      <c r="H3" s="1196"/>
      <c r="I3" s="1196"/>
      <c r="J3" s="792"/>
      <c r="K3" s="792"/>
      <c r="L3" s="79"/>
      <c r="M3" s="79"/>
      <c r="N3" s="79"/>
      <c r="O3" s="79"/>
      <c r="P3" s="79"/>
      <c r="Q3" s="79"/>
      <c r="R3" s="202"/>
      <c r="S3" s="154"/>
      <c r="T3" s="408"/>
      <c r="U3" s="154"/>
      <c r="V3" s="154"/>
      <c r="W3" s="154"/>
      <c r="X3" s="154"/>
      <c r="Y3" s="154"/>
      <c r="Z3" s="154"/>
      <c r="AA3" s="154"/>
      <c r="AB3" s="154"/>
      <c r="AC3" s="154"/>
      <c r="AD3" s="154"/>
      <c r="AE3" s="154"/>
      <c r="AF3" s="154"/>
      <c r="AG3" s="1054"/>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93"/>
      <c r="B4" s="1194"/>
      <c r="C4" s="1194"/>
      <c r="D4" s="1194"/>
      <c r="E4" s="203"/>
      <c r="F4" s="203"/>
      <c r="G4" s="203"/>
      <c r="H4" s="203"/>
      <c r="I4" s="203"/>
      <c r="J4" s="203"/>
      <c r="K4" s="203"/>
      <c r="L4" s="203"/>
      <c r="M4" s="203"/>
      <c r="N4" s="164"/>
      <c r="O4" s="203"/>
      <c r="P4" s="203"/>
      <c r="Q4" s="203"/>
      <c r="R4" s="203"/>
      <c r="S4" s="203"/>
      <c r="T4" s="409"/>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914" t="s">
        <v>220</v>
      </c>
      <c r="B5" s="915" t="s">
        <v>745</v>
      </c>
      <c r="C5" s="916" t="s">
        <v>201</v>
      </c>
      <c r="D5" s="916" t="s">
        <v>191</v>
      </c>
      <c r="E5" s="916" t="s">
        <v>202</v>
      </c>
      <c r="F5" s="916" t="s">
        <v>10</v>
      </c>
      <c r="G5" s="916" t="s">
        <v>1</v>
      </c>
      <c r="H5" s="916" t="s">
        <v>9</v>
      </c>
      <c r="I5" s="205" t="s">
        <v>284</v>
      </c>
      <c r="J5" s="913" t="s">
        <v>1103</v>
      </c>
      <c r="K5" s="913" t="s">
        <v>1107</v>
      </c>
      <c r="L5" s="1059" t="s">
        <v>193</v>
      </c>
      <c r="M5" s="1059" t="s">
        <v>285</v>
      </c>
      <c r="N5" s="1059" t="s">
        <v>552</v>
      </c>
      <c r="O5" s="1059" t="s">
        <v>286</v>
      </c>
      <c r="P5" s="1059" t="s">
        <v>218</v>
      </c>
      <c r="Q5" s="1059" t="s">
        <v>219</v>
      </c>
      <c r="R5" s="1059" t="s">
        <v>310</v>
      </c>
      <c r="S5" s="1059" t="s">
        <v>535</v>
      </c>
      <c r="T5" s="1060" t="s">
        <v>862</v>
      </c>
      <c r="U5" s="1059" t="s">
        <v>536</v>
      </c>
      <c r="V5" s="1059" t="s">
        <v>1013</v>
      </c>
      <c r="W5" s="1059" t="s">
        <v>1014</v>
      </c>
      <c r="X5" s="1059" t="s">
        <v>1015</v>
      </c>
      <c r="Y5" s="1059" t="s">
        <v>1043</v>
      </c>
      <c r="Z5" s="1059" t="s">
        <v>1114</v>
      </c>
      <c r="AA5" s="1059" t="s">
        <v>1115</v>
      </c>
      <c r="AB5" s="1059" t="s">
        <v>1116</v>
      </c>
      <c r="AC5" s="1059" t="s">
        <v>1146</v>
      </c>
      <c r="AD5" s="206" t="s">
        <v>838</v>
      </c>
      <c r="AE5" s="206" t="s">
        <v>839</v>
      </c>
      <c r="AF5" s="206" t="s">
        <v>840</v>
      </c>
      <c r="AG5" s="206" t="s">
        <v>1147</v>
      </c>
      <c r="AH5" s="206" t="s">
        <v>841</v>
      </c>
      <c r="AI5" s="206" t="s">
        <v>842</v>
      </c>
      <c r="AJ5" s="206" t="s">
        <v>843</v>
      </c>
      <c r="AK5" s="206" t="s">
        <v>844</v>
      </c>
      <c r="AL5" s="206" t="s">
        <v>845</v>
      </c>
      <c r="AM5" s="206" t="s">
        <v>846</v>
      </c>
      <c r="AN5" s="206" t="s">
        <v>869</v>
      </c>
      <c r="AO5" s="206" t="s">
        <v>847</v>
      </c>
      <c r="AP5" s="206" t="s">
        <v>1018</v>
      </c>
      <c r="AQ5" s="206" t="s">
        <v>1019</v>
      </c>
      <c r="AR5" s="206" t="s">
        <v>1020</v>
      </c>
      <c r="AS5" s="206" t="s">
        <v>1044</v>
      </c>
      <c r="AT5" s="207" t="s">
        <v>521</v>
      </c>
      <c r="AU5" s="207" t="s">
        <v>329</v>
      </c>
      <c r="AV5" s="722" t="s">
        <v>1029</v>
      </c>
      <c r="AY5" s="648"/>
    </row>
    <row r="6" spans="1:73" s="745" customFormat="1" ht="21.75" customHeight="1" x14ac:dyDescent="0.25">
      <c r="A6" s="948">
        <f t="shared" ref="A6:A11" si="0">IF(ISBLANK(C6),"",(Report_Date-C6)/30)</f>
        <v>0.76666666666666672</v>
      </c>
      <c r="B6" s="949">
        <f>YEAR(Data_NFI_t[[#This Row],[Distribution Date]])</f>
        <v>2018</v>
      </c>
      <c r="C6" s="973">
        <v>43411</v>
      </c>
      <c r="D6" s="947" t="s">
        <v>270</v>
      </c>
      <c r="E6" s="947" t="s">
        <v>273</v>
      </c>
      <c r="F6" s="947" t="s">
        <v>7</v>
      </c>
      <c r="G6" s="951" t="s">
        <v>17</v>
      </c>
      <c r="H6" s="951" t="s">
        <v>581</v>
      </c>
      <c r="I6" s="714"/>
      <c r="J6" s="952">
        <v>1013</v>
      </c>
      <c r="K6" s="952">
        <v>4748</v>
      </c>
      <c r="L6" s="1062"/>
      <c r="M6" s="1062"/>
      <c r="N6" s="716">
        <v>2038</v>
      </c>
      <c r="O6" s="716">
        <v>1019</v>
      </c>
      <c r="P6" s="716">
        <v>2038</v>
      </c>
      <c r="Q6" s="716">
        <v>1019</v>
      </c>
      <c r="R6" s="716"/>
      <c r="S6" s="716"/>
      <c r="T6" s="717"/>
      <c r="U6" s="716">
        <v>5095</v>
      </c>
      <c r="V6" s="1063"/>
      <c r="W6" s="1063"/>
      <c r="X6" s="716"/>
      <c r="Y6" s="716"/>
      <c r="Z6" s="716"/>
      <c r="AA6" s="716"/>
      <c r="AB6" s="716"/>
      <c r="AC6" s="716"/>
      <c r="AD6" s="753">
        <f>IF(NFI_Expiration=1,IF($A6&lt;VLOOKUP(I$5,NFI,5,0),1,0)*Data_NFI_t[[#This Row],[Hygiene Kit]],0)</f>
        <v>0</v>
      </c>
      <c r="AE6" s="753">
        <f>IF(NFI_Expiration=1,IF($A6&lt;VLOOKUP(L$5,NFI,5,0),1,0)*Data_NFI_t[[#This Row],[NFI Core Kit]],0)</f>
        <v>0</v>
      </c>
      <c r="AF6" s="715">
        <f>IF(NFI_Expiration=1,IF($A6&lt;VLOOKUP(M$5,NFI,5,0),1,0)*Data_NFI_t[[#This Row],[Sanitary Kit]],0)</f>
        <v>0</v>
      </c>
      <c r="AG6" s="715"/>
      <c r="AH6" s="715">
        <f>IF(NFI_Expiration=1,IF($A6&lt;VLOOKUP(N$5,NFI,5,0),1,0)*Data_NFI_t[[#This Row],[Mosquito net]],0)</f>
        <v>2038</v>
      </c>
      <c r="AI6" s="715">
        <f>IF(NFI_Expiration=1,IF($A6&lt;VLOOKUP(O$5,NFI,5,0),1,0)*Data_NFI_t[[#This Row],[Tarpaulin]],0)</f>
        <v>1019</v>
      </c>
      <c r="AJ6" s="715">
        <f>IF(NFI_Expiration=1,IF($A6&lt;VLOOKUP(P$5,NFI,5,0),1,0)*Data_NFI_t[[#This Row],[Blanket]],0)</f>
        <v>2038</v>
      </c>
      <c r="AK6" s="715">
        <f>IF(NFI_Expiration=1,IF($A6&lt;VLOOKUP(Q$5,NFI,5,0),1,0)*Data_NFI_t[[#This Row],[Kitchen Set]],0)</f>
        <v>1019</v>
      </c>
      <c r="AL6" s="715">
        <f>IF(NFI_Expiration=1,IF($A6&lt;VLOOKUP(R$5,NFI,5,0),1,0)*Data_NFI_t[[#This Row],[Complementary Kit]],0)</f>
        <v>0</v>
      </c>
      <c r="AM6" s="715">
        <f>IF(NFI_Expiration=1,IF($A6&lt;VLOOKUP(S$5,NFI,5,0),1,0)*Data_NFI_t[[#This Row],[Plastic Bucket]],0)</f>
        <v>0</v>
      </c>
      <c r="AN6" s="753">
        <f>IF(NFI_Expiration=1,IF($A6&lt;VLOOKUP(T$5,NFI,5,0),1,0)*Data_NFI_t[[#This Row],[Jerry Can]],0)</f>
        <v>0</v>
      </c>
      <c r="AO6" s="753">
        <f>IF(NFI_Expiration=1,IF($A6&lt;VLOOKUP(U$5,NFI,5,0),1,0)*Data_NFI_t[[#This Row],[Plastic Mat]],0)*IF(Data_NFI_t[[#This Row],[Distribution Date]]&gt;"01-06-2015",1,2.5)</f>
        <v>12737.5</v>
      </c>
      <c r="AP6" s="753">
        <f>IF(NFI_Expiration=1,IF($A6&lt;VLOOKUP(V$5,NFI,5,0),1,0)*Data_NFI_t[[#This Row],[Adult Clothes]],0)</f>
        <v>0</v>
      </c>
      <c r="AQ6" s="753">
        <f>IF(NFI_Expiration=1,IF($A6&lt;VLOOKUP(W$5,NFI,5,0),1,0)*Data_NFI_t[[#This Row],[Children Clothes]],0)</f>
        <v>0</v>
      </c>
      <c r="AR6" s="753">
        <f>IF(NFI_Expiration=1,IF($A6&lt;VLOOKUP(X$5,NFI,5,0),1,0)*Data_NFI_t[[#This Row],[Sewing Kit]],0)</f>
        <v>0</v>
      </c>
      <c r="AS6" s="753">
        <f>IF(NFI_Expiration=1,IF($A6&lt;VLOOKUP(X$5,NFI,5,0),1,0)*Data_NFI_t[[#This Row],[Solar Lantern]],0)</f>
        <v>0</v>
      </c>
      <c r="AT6" s="754" t="str">
        <f ca="1">IFERROR(OFFSET(Camp_List[P_Code],MATCH(Data_NFI_t[[#This Row],[Camp Name]],Camp_List[Camp Name],0)-1,0,1,1),"")</f>
        <v>MMR012CMP113</v>
      </c>
      <c r="AU6" s="755" t="str">
        <f ca="1">IFERROR(OFFSET(Camp_List[Status],MATCH(Data_NFI_t[[#This Row],[Camp Name]],Camp_List[Camp Name],0)-1,0,1,1),"")</f>
        <v>Open</v>
      </c>
      <c r="AV6" s="754"/>
      <c r="AY6" s="747"/>
    </row>
    <row r="7" spans="1:73" s="745" customFormat="1" ht="21.75" customHeight="1" x14ac:dyDescent="0.25">
      <c r="A7" s="948">
        <f t="shared" si="0"/>
        <v>0.8</v>
      </c>
      <c r="B7" s="949">
        <f>YEAR(Data_NFI_t[[#This Row],[Distribution Date]])</f>
        <v>2018</v>
      </c>
      <c r="C7" s="973">
        <v>43410</v>
      </c>
      <c r="D7" s="947" t="s">
        <v>270</v>
      </c>
      <c r="E7" s="947" t="s">
        <v>575</v>
      </c>
      <c r="F7" s="947" t="s">
        <v>7</v>
      </c>
      <c r="G7" s="951" t="s">
        <v>17</v>
      </c>
      <c r="H7" s="951" t="s">
        <v>66</v>
      </c>
      <c r="I7" s="714"/>
      <c r="J7" s="952">
        <v>1290</v>
      </c>
      <c r="K7" s="952">
        <v>7506</v>
      </c>
      <c r="L7" s="1062"/>
      <c r="M7" s="1062"/>
      <c r="N7" s="716"/>
      <c r="O7" s="716"/>
      <c r="P7" s="716"/>
      <c r="Q7" s="716">
        <v>1290</v>
      </c>
      <c r="R7" s="716"/>
      <c r="S7" s="716"/>
      <c r="T7" s="717"/>
      <c r="U7" s="716"/>
      <c r="V7" s="1063"/>
      <c r="W7" s="1063"/>
      <c r="X7" s="716"/>
      <c r="Y7" s="716"/>
      <c r="Z7" s="716"/>
      <c r="AA7" s="716"/>
      <c r="AB7" s="716"/>
      <c r="AC7" s="716"/>
      <c r="AD7" s="709">
        <f>IF(NFI_Expiration=1,IF($A7&lt;VLOOKUP(I$5,NFI,5,0),1,0)*Data_NFI_t[[#This Row],[Hygiene Kit]],0)</f>
        <v>0</v>
      </c>
      <c r="AE7" s="709">
        <f>IF(NFI_Expiration=1,IF($A7&lt;VLOOKUP(L$5,NFI,5,0),1,0)*Data_NFI_t[[#This Row],[NFI Core Kit]],0)</f>
        <v>0</v>
      </c>
      <c r="AF7" s="710">
        <f>IF(NFI_Expiration=1,IF($A7&lt;VLOOKUP(M$5,NFI,5,0),1,0)*Data_NFI_t[[#This Row],[Sanitary Kit]],0)</f>
        <v>0</v>
      </c>
      <c r="AG7" s="710"/>
      <c r="AH7" s="710">
        <f>IF(NFI_Expiration=1,IF($A7&lt;VLOOKUP(N$5,NFI,5,0),1,0)*Data_NFI_t[[#This Row],[Mosquito net]],0)</f>
        <v>0</v>
      </c>
      <c r="AI7" s="710">
        <f>IF(NFI_Expiration=1,IF($A7&lt;VLOOKUP(O$5,NFI,5,0),1,0)*Data_NFI_t[[#This Row],[Tarpaulin]],0)</f>
        <v>0</v>
      </c>
      <c r="AJ7" s="710">
        <f>IF(NFI_Expiration=1,IF($A7&lt;VLOOKUP(P$5,NFI,5,0),1,0)*Data_NFI_t[[#This Row],[Blanket]],0)</f>
        <v>0</v>
      </c>
      <c r="AK7" s="710">
        <f>IF(NFI_Expiration=1,IF($A7&lt;VLOOKUP(Q$5,NFI,5,0),1,0)*Data_NFI_t[[#This Row],[Kitchen Set]],0)</f>
        <v>1290</v>
      </c>
      <c r="AL7" s="710">
        <f>IF(NFI_Expiration=1,IF($A7&lt;VLOOKUP(R$5,NFI,5,0),1,0)*Data_NFI_t[[#This Row],[Complementary Kit]],0)</f>
        <v>0</v>
      </c>
      <c r="AM7" s="710">
        <f>IF(NFI_Expiration=1,IF($A7&lt;VLOOKUP(S$5,NFI,5,0),1,0)*Data_NFI_t[[#This Row],[Plastic Bucket]],0)</f>
        <v>0</v>
      </c>
      <c r="AN7" s="709">
        <f>IF(NFI_Expiration=1,IF($A7&lt;VLOOKUP(T$5,NFI,5,0),1,0)*Data_NFI_t[[#This Row],[Jerry Can]],0)</f>
        <v>0</v>
      </c>
      <c r="AO7" s="709">
        <f>IF(NFI_Expiration=1,IF($A7&lt;VLOOKUP(U$5,NFI,5,0),1,0)*Data_NFI_t[[#This Row],[Plastic Mat]],0)*IF(Data_NFI_t[[#This Row],[Distribution Date]]&gt;"01-06-2015",1,2.5)</f>
        <v>0</v>
      </c>
      <c r="AP7" s="709">
        <f>IF(NFI_Expiration=1,IF($A7&lt;VLOOKUP(V$5,NFI,5,0),1,0)*Data_NFI_t[[#This Row],[Adult Clothes]],0)</f>
        <v>0</v>
      </c>
      <c r="AQ7" s="709">
        <f>IF(NFI_Expiration=1,IF($A7&lt;VLOOKUP(W$5,NFI,5,0),1,0)*Data_NFI_t[[#This Row],[Children Clothes]],0)</f>
        <v>0</v>
      </c>
      <c r="AR7" s="709">
        <f>IF(NFI_Expiration=1,IF($A7&lt;VLOOKUP(X$5,NFI,5,0),1,0)*Data_NFI_t[[#This Row],[Sewing Kit]],0)</f>
        <v>0</v>
      </c>
      <c r="AS7" s="709">
        <f>IF(NFI_Expiration=1,IF($A7&lt;VLOOKUP(X$5,NFI,5,0),1,0)*Data_NFI_t[[#This Row],[Solar Lantern]],0)</f>
        <v>0</v>
      </c>
      <c r="AT7" s="105" t="str">
        <f ca="1">IFERROR(OFFSET(Camp_List[P_Code],MATCH(Data_NFI_t[[#This Row],[Camp Name]],Camp_List[Camp Name],0)-1,0,1,1),"")</f>
        <v>MMR012CMP046</v>
      </c>
      <c r="AU7" s="412" t="str">
        <f ca="1">IFERROR(OFFSET(Camp_List[Status],MATCH(Data_NFI_t[[#This Row],[Camp Name]],Camp_List[Camp Name],0)-1,0,1,1),"")</f>
        <v>Open</v>
      </c>
      <c r="AV7" s="105"/>
      <c r="AY7" s="747"/>
    </row>
    <row r="8" spans="1:73" s="745" customFormat="1" ht="18.75" customHeight="1" x14ac:dyDescent="0.25">
      <c r="A8" s="948">
        <f t="shared" si="0"/>
        <v>1.3</v>
      </c>
      <c r="B8" s="949">
        <f>YEAR(Data_NFI_t[[#This Row],[Distribution Date]])</f>
        <v>2018</v>
      </c>
      <c r="C8" s="973">
        <v>43395</v>
      </c>
      <c r="D8" s="947" t="s">
        <v>270</v>
      </c>
      <c r="E8" s="947" t="s">
        <v>575</v>
      </c>
      <c r="F8" s="947" t="s">
        <v>7</v>
      </c>
      <c r="G8" s="951" t="s">
        <v>13</v>
      </c>
      <c r="H8" s="951" t="s">
        <v>981</v>
      </c>
      <c r="I8" s="714"/>
      <c r="J8" s="952">
        <v>1010</v>
      </c>
      <c r="K8" s="952">
        <v>4665</v>
      </c>
      <c r="L8" s="1062"/>
      <c r="M8" s="1062"/>
      <c r="N8" s="716">
        <v>2020</v>
      </c>
      <c r="O8" s="716"/>
      <c r="P8" s="716">
        <v>2020</v>
      </c>
      <c r="Q8" s="716">
        <v>1010</v>
      </c>
      <c r="R8" s="716"/>
      <c r="S8" s="716"/>
      <c r="T8" s="717"/>
      <c r="U8" s="716">
        <v>5050</v>
      </c>
      <c r="V8" s="1063"/>
      <c r="W8" s="1063"/>
      <c r="X8" s="716"/>
      <c r="Y8" s="716"/>
      <c r="Z8" s="716"/>
      <c r="AA8" s="716"/>
      <c r="AB8" s="716"/>
      <c r="AC8" s="716"/>
      <c r="AD8" s="709">
        <f>IF(NFI_Expiration=1,IF($A8&lt;VLOOKUP(I$5,NFI,5,0),1,0)*Data_NFI_t[[#This Row],[Hygiene Kit]],0)</f>
        <v>0</v>
      </c>
      <c r="AE8" s="709">
        <f>IF(NFI_Expiration=1,IF($A8&lt;VLOOKUP(L$5,NFI,5,0),1,0)*Data_NFI_t[[#This Row],[NFI Core Kit]],0)</f>
        <v>0</v>
      </c>
      <c r="AF8" s="710">
        <f>IF(NFI_Expiration=1,IF($A8&lt;VLOOKUP(M$5,NFI,5,0),1,0)*Data_NFI_t[[#This Row],[Sanitary Kit]],0)</f>
        <v>0</v>
      </c>
      <c r="AG8" s="710"/>
      <c r="AH8" s="710">
        <f>IF(NFI_Expiration=1,IF($A8&lt;VLOOKUP(N$5,NFI,5,0),1,0)*Data_NFI_t[[#This Row],[Mosquito net]],0)</f>
        <v>2020</v>
      </c>
      <c r="AI8" s="710">
        <f>IF(NFI_Expiration=1,IF($A8&lt;VLOOKUP(O$5,NFI,5,0),1,0)*Data_NFI_t[[#This Row],[Tarpaulin]],0)</f>
        <v>0</v>
      </c>
      <c r="AJ8" s="710">
        <f>IF(NFI_Expiration=1,IF($A8&lt;VLOOKUP(P$5,NFI,5,0),1,0)*Data_NFI_t[[#This Row],[Blanket]],0)</f>
        <v>2020</v>
      </c>
      <c r="AK8" s="710">
        <f>IF(NFI_Expiration=1,IF($A8&lt;VLOOKUP(Q$5,NFI,5,0),1,0)*Data_NFI_t[[#This Row],[Kitchen Set]],0)</f>
        <v>1010</v>
      </c>
      <c r="AL8" s="710">
        <f>IF(NFI_Expiration=1,IF($A8&lt;VLOOKUP(R$5,NFI,5,0),1,0)*Data_NFI_t[[#This Row],[Complementary Kit]],0)</f>
        <v>0</v>
      </c>
      <c r="AM8" s="710">
        <f>IF(NFI_Expiration=1,IF($A8&lt;VLOOKUP(S$5,NFI,5,0),1,0)*Data_NFI_t[[#This Row],[Plastic Bucket]],0)</f>
        <v>0</v>
      </c>
      <c r="AN8" s="709">
        <f>IF(NFI_Expiration=1,IF($A8&lt;VLOOKUP(T$5,NFI,5,0),1,0)*Data_NFI_t[[#This Row],[Jerry Can]],0)</f>
        <v>0</v>
      </c>
      <c r="AO8" s="709">
        <f>IF(NFI_Expiration=1,IF($A8&lt;VLOOKUP(U$5,NFI,5,0),1,0)*Data_NFI_t[[#This Row],[Plastic Mat]],0)*IF(Data_NFI_t[[#This Row],[Distribution Date]]&gt;"01-06-2015",1,2.5)</f>
        <v>12625</v>
      </c>
      <c r="AP8" s="709">
        <f>IF(NFI_Expiration=1,IF($A8&lt;VLOOKUP(V$5,NFI,5,0),1,0)*Data_NFI_t[[#This Row],[Adult Clothes]],0)</f>
        <v>0</v>
      </c>
      <c r="AQ8" s="709">
        <f>IF(NFI_Expiration=1,IF($A8&lt;VLOOKUP(W$5,NFI,5,0),1,0)*Data_NFI_t[[#This Row],[Children Clothes]],0)</f>
        <v>0</v>
      </c>
      <c r="AR8" s="709">
        <f>IF(NFI_Expiration=1,IF($A8&lt;VLOOKUP(X$5,NFI,5,0),1,0)*Data_NFI_t[[#This Row],[Sewing Kit]],0)</f>
        <v>0</v>
      </c>
      <c r="AS8" s="709">
        <f>IF(NFI_Expiration=1,IF($A8&lt;VLOOKUP(X$5,NFI,5,0),1,0)*Data_NFI_t[[#This Row],[Solar Lantern]],0)</f>
        <v>0</v>
      </c>
      <c r="AT8" s="105" t="str">
        <f ca="1">IFERROR(OFFSET(Camp_List[P_Code],MATCH(Data_NFI_t[[#This Row],[Camp Name]],Camp_List[Camp Name],0)-1,0,1,1),"")</f>
        <v>MMR012CMP017</v>
      </c>
      <c r="AU8" s="412" t="str">
        <f ca="1">IFERROR(OFFSET(Camp_List[Status],MATCH(Data_NFI_t[[#This Row],[Camp Name]],Camp_List[Camp Name],0)-1,0,1,1),"")</f>
        <v>Open</v>
      </c>
      <c r="AV8" s="105"/>
      <c r="AY8" s="747"/>
    </row>
    <row r="9" spans="1:73" s="745" customFormat="1" ht="18.75" customHeight="1" x14ac:dyDescent="0.25">
      <c r="A9" s="948">
        <f t="shared" si="0"/>
        <v>1.6666666666666667</v>
      </c>
      <c r="B9" s="949">
        <f>YEAR(Data_NFI_t[[#This Row],[Distribution Date]])</f>
        <v>2018</v>
      </c>
      <c r="C9" s="973">
        <v>43384</v>
      </c>
      <c r="D9" s="947" t="s">
        <v>270</v>
      </c>
      <c r="E9" s="947" t="s">
        <v>575</v>
      </c>
      <c r="F9" s="947" t="s">
        <v>7</v>
      </c>
      <c r="G9" s="951" t="s">
        <v>17</v>
      </c>
      <c r="H9" s="951" t="s">
        <v>66</v>
      </c>
      <c r="I9" s="714"/>
      <c r="J9" s="952">
        <v>110</v>
      </c>
      <c r="K9" s="952">
        <v>636</v>
      </c>
      <c r="L9" s="1062"/>
      <c r="M9" s="1062"/>
      <c r="N9" s="716"/>
      <c r="O9" s="716">
        <v>110</v>
      </c>
      <c r="P9" s="716"/>
      <c r="Q9" s="716"/>
      <c r="R9" s="716"/>
      <c r="S9" s="716"/>
      <c r="T9" s="717"/>
      <c r="U9" s="716"/>
      <c r="V9" s="1063"/>
      <c r="W9" s="1063"/>
      <c r="X9" s="716"/>
      <c r="Y9" s="716"/>
      <c r="Z9" s="716"/>
      <c r="AA9" s="716"/>
      <c r="AB9" s="716"/>
      <c r="AC9" s="716"/>
      <c r="AD9" s="709">
        <f>IF(NFI_Expiration=1,IF($A9&lt;VLOOKUP(I$5,NFI,5,0),1,0)*Data_NFI_t[[#This Row],[Hygiene Kit]],0)</f>
        <v>0</v>
      </c>
      <c r="AE9" s="709">
        <f>IF(NFI_Expiration=1,IF($A9&lt;VLOOKUP(L$5,NFI,5,0),1,0)*Data_NFI_t[[#This Row],[NFI Core Kit]],0)</f>
        <v>0</v>
      </c>
      <c r="AF9" s="710">
        <f>IF(NFI_Expiration=1,IF($A9&lt;VLOOKUP(M$5,NFI,5,0),1,0)*Data_NFI_t[[#This Row],[Sanitary Kit]],0)</f>
        <v>0</v>
      </c>
      <c r="AG9" s="710"/>
      <c r="AH9" s="710">
        <f>IF(NFI_Expiration=1,IF($A9&lt;VLOOKUP(N$5,NFI,5,0),1,0)*Data_NFI_t[[#This Row],[Mosquito net]],0)</f>
        <v>0</v>
      </c>
      <c r="AI9" s="710">
        <f>IF(NFI_Expiration=1,IF($A9&lt;VLOOKUP(O$5,NFI,5,0),1,0)*Data_NFI_t[[#This Row],[Tarpaulin]],0)</f>
        <v>110</v>
      </c>
      <c r="AJ9" s="710">
        <f>IF(NFI_Expiration=1,IF($A9&lt;VLOOKUP(P$5,NFI,5,0),1,0)*Data_NFI_t[[#This Row],[Blanket]],0)</f>
        <v>0</v>
      </c>
      <c r="AK9" s="710">
        <f>IF(NFI_Expiration=1,IF($A9&lt;VLOOKUP(Q$5,NFI,5,0),1,0)*Data_NFI_t[[#This Row],[Kitchen Set]],0)</f>
        <v>0</v>
      </c>
      <c r="AL9" s="710">
        <f>IF(NFI_Expiration=1,IF($A9&lt;VLOOKUP(R$5,NFI,5,0),1,0)*Data_NFI_t[[#This Row],[Complementary Kit]],0)</f>
        <v>0</v>
      </c>
      <c r="AM9" s="710">
        <f>IF(NFI_Expiration=1,IF($A9&lt;VLOOKUP(S$5,NFI,5,0),1,0)*Data_NFI_t[[#This Row],[Plastic Bucket]],0)</f>
        <v>0</v>
      </c>
      <c r="AN9" s="709">
        <f>IF(NFI_Expiration=1,IF($A9&lt;VLOOKUP(T$5,NFI,5,0),1,0)*Data_NFI_t[[#This Row],[Jerry Can]],0)</f>
        <v>0</v>
      </c>
      <c r="AO9" s="709">
        <f>IF(NFI_Expiration=1,IF($A9&lt;VLOOKUP(U$5,NFI,5,0),1,0)*Data_NFI_t[[#This Row],[Plastic Mat]],0)*IF(Data_NFI_t[[#This Row],[Distribution Date]]&gt;"01-06-2015",1,2.5)</f>
        <v>0</v>
      </c>
      <c r="AP9" s="709">
        <f>IF(NFI_Expiration=1,IF($A9&lt;VLOOKUP(V$5,NFI,5,0),1,0)*Data_NFI_t[[#This Row],[Adult Clothes]],0)</f>
        <v>0</v>
      </c>
      <c r="AQ9" s="709">
        <f>IF(NFI_Expiration=1,IF($A9&lt;VLOOKUP(W$5,NFI,5,0),1,0)*Data_NFI_t[[#This Row],[Children Clothes]],0)</f>
        <v>0</v>
      </c>
      <c r="AR9" s="709">
        <f>IF(NFI_Expiration=1,IF($A9&lt;VLOOKUP(X$5,NFI,5,0),1,0)*Data_NFI_t[[#This Row],[Sewing Kit]],0)</f>
        <v>0</v>
      </c>
      <c r="AS9" s="709">
        <f>IF(NFI_Expiration=1,IF($A9&lt;VLOOKUP(X$5,NFI,5,0),1,0)*Data_NFI_t[[#This Row],[Solar Lantern]],0)</f>
        <v>0</v>
      </c>
      <c r="AT9" s="105" t="str">
        <f ca="1">IFERROR(OFFSET(Camp_List[P_Code],MATCH(Data_NFI_t[[#This Row],[Camp Name]],Camp_List[Camp Name],0)-1,0,1,1),"")</f>
        <v>MMR012CMP046</v>
      </c>
      <c r="AU9" s="412" t="str">
        <f ca="1">IFERROR(OFFSET(Camp_List[Status],MATCH(Data_NFI_t[[#This Row],[Camp Name]],Camp_List[Camp Name],0)-1,0,1,1),"")</f>
        <v>Open</v>
      </c>
      <c r="AV9" s="105"/>
      <c r="AY9" s="747"/>
    </row>
    <row r="10" spans="1:73" s="745" customFormat="1" ht="18.75" customHeight="1" x14ac:dyDescent="0.25">
      <c r="A10" s="948">
        <f t="shared" si="0"/>
        <v>1.7333333333333334</v>
      </c>
      <c r="B10" s="949">
        <f>YEAR(Data_NFI_t[[#This Row],[Distribution Date]])</f>
        <v>2018</v>
      </c>
      <c r="C10" s="973">
        <v>43382</v>
      </c>
      <c r="D10" s="947" t="s">
        <v>270</v>
      </c>
      <c r="E10" s="947" t="s">
        <v>273</v>
      </c>
      <c r="F10" s="947" t="s">
        <v>7</v>
      </c>
      <c r="G10" s="951" t="s">
        <v>17</v>
      </c>
      <c r="H10" s="951" t="s">
        <v>65</v>
      </c>
      <c r="I10" s="714"/>
      <c r="J10" s="952">
        <v>2681</v>
      </c>
      <c r="K10" s="952">
        <v>13596</v>
      </c>
      <c r="L10" s="1062"/>
      <c r="M10" s="1062"/>
      <c r="N10" s="716">
        <v>5486</v>
      </c>
      <c r="O10" s="716">
        <v>2743</v>
      </c>
      <c r="P10" s="716">
        <v>5486</v>
      </c>
      <c r="Q10" s="716">
        <v>2743</v>
      </c>
      <c r="R10" s="716"/>
      <c r="S10" s="716"/>
      <c r="T10" s="717"/>
      <c r="U10" s="716">
        <v>13715</v>
      </c>
      <c r="V10" s="1063"/>
      <c r="W10" s="1063"/>
      <c r="X10" s="716"/>
      <c r="Y10" s="716"/>
      <c r="Z10" s="716"/>
      <c r="AA10" s="716"/>
      <c r="AB10" s="716"/>
      <c r="AC10" s="716"/>
      <c r="AD10" s="709">
        <f>IF(NFI_Expiration=1,IF($A10&lt;VLOOKUP(I$5,NFI,5,0),1,0)*Data_NFI_t[[#This Row],[Hygiene Kit]],0)</f>
        <v>0</v>
      </c>
      <c r="AE10" s="709">
        <f>IF(NFI_Expiration=1,IF($A10&lt;VLOOKUP(L$5,NFI,5,0),1,0)*Data_NFI_t[[#This Row],[NFI Core Kit]],0)</f>
        <v>0</v>
      </c>
      <c r="AF10" s="710">
        <f>IF(NFI_Expiration=1,IF($A10&lt;VLOOKUP(M$5,NFI,5,0),1,0)*Data_NFI_t[[#This Row],[Sanitary Kit]],0)</f>
        <v>0</v>
      </c>
      <c r="AG10" s="710"/>
      <c r="AH10" s="710">
        <f>IF(NFI_Expiration=1,IF($A10&lt;VLOOKUP(N$5,NFI,5,0),1,0)*Data_NFI_t[[#This Row],[Mosquito net]],0)</f>
        <v>5486</v>
      </c>
      <c r="AI10" s="710">
        <f>IF(NFI_Expiration=1,IF($A10&lt;VLOOKUP(O$5,NFI,5,0),1,0)*Data_NFI_t[[#This Row],[Tarpaulin]],0)</f>
        <v>2743</v>
      </c>
      <c r="AJ10" s="710">
        <f>IF(NFI_Expiration=1,IF($A10&lt;VLOOKUP(P$5,NFI,5,0),1,0)*Data_NFI_t[[#This Row],[Blanket]],0)</f>
        <v>5486</v>
      </c>
      <c r="AK10" s="710">
        <f>IF(NFI_Expiration=1,IF($A10&lt;VLOOKUP(Q$5,NFI,5,0),1,0)*Data_NFI_t[[#This Row],[Kitchen Set]],0)</f>
        <v>2743</v>
      </c>
      <c r="AL10" s="710">
        <f>IF(NFI_Expiration=1,IF($A10&lt;VLOOKUP(R$5,NFI,5,0),1,0)*Data_NFI_t[[#This Row],[Complementary Kit]],0)</f>
        <v>0</v>
      </c>
      <c r="AM10" s="710">
        <f>IF(NFI_Expiration=1,IF($A10&lt;VLOOKUP(S$5,NFI,5,0),1,0)*Data_NFI_t[[#This Row],[Plastic Bucket]],0)</f>
        <v>0</v>
      </c>
      <c r="AN10" s="709">
        <f>IF(NFI_Expiration=1,IF($A10&lt;VLOOKUP(T$5,NFI,5,0),1,0)*Data_NFI_t[[#This Row],[Jerry Can]],0)</f>
        <v>0</v>
      </c>
      <c r="AO10" s="709">
        <f>IF(NFI_Expiration=1,IF($A10&lt;VLOOKUP(U$5,NFI,5,0),1,0)*Data_NFI_t[[#This Row],[Plastic Mat]],0)*IF(Data_NFI_t[[#This Row],[Distribution Date]]&gt;"01-06-2015",1,2.5)</f>
        <v>34287.5</v>
      </c>
      <c r="AP10" s="709">
        <f>IF(NFI_Expiration=1,IF($A10&lt;VLOOKUP(V$5,NFI,5,0),1,0)*Data_NFI_t[[#This Row],[Adult Clothes]],0)</f>
        <v>0</v>
      </c>
      <c r="AQ10" s="709">
        <f>IF(NFI_Expiration=1,IF($A10&lt;VLOOKUP(W$5,NFI,5,0),1,0)*Data_NFI_t[[#This Row],[Children Clothes]],0)</f>
        <v>0</v>
      </c>
      <c r="AR10" s="709">
        <f>IF(NFI_Expiration=1,IF($A10&lt;VLOOKUP(X$5,NFI,5,0),1,0)*Data_NFI_t[[#This Row],[Sewing Kit]],0)</f>
        <v>0</v>
      </c>
      <c r="AS10" s="709">
        <f>IF(NFI_Expiration=1,IF($A10&lt;VLOOKUP(X$5,NFI,5,0),1,0)*Data_NFI_t[[#This Row],[Solar Lantern]],0)</f>
        <v>0</v>
      </c>
      <c r="AT10" s="105" t="str">
        <f ca="1">IFERROR(OFFSET(Camp_List[P_Code],MATCH(Data_NFI_t[[#This Row],[Camp Name]],Camp_List[Camp Name],0)-1,0,1,1),"")</f>
        <v>MMR012CMP045</v>
      </c>
      <c r="AU10" s="412" t="str">
        <f ca="1">IFERROR(OFFSET(Camp_List[Status],MATCH(Data_NFI_t[[#This Row],[Camp Name]],Camp_List[Camp Name],0)-1,0,1,1),"")</f>
        <v>Open</v>
      </c>
      <c r="AV10" s="105"/>
      <c r="AY10" s="747"/>
    </row>
    <row r="11" spans="1:73" s="745" customFormat="1" ht="20.25" customHeight="1" x14ac:dyDescent="0.25">
      <c r="A11" s="948">
        <f t="shared" si="0"/>
        <v>2.8333333333333335</v>
      </c>
      <c r="B11" s="949">
        <f>YEAR(Data_NFI_t[[#This Row],[Distribution Date]])</f>
        <v>2018</v>
      </c>
      <c r="C11" s="973">
        <v>43349</v>
      </c>
      <c r="D11" s="947" t="s">
        <v>273</v>
      </c>
      <c r="E11" s="947" t="s">
        <v>273</v>
      </c>
      <c r="F11" s="947" t="s">
        <v>7</v>
      </c>
      <c r="G11" s="951" t="s">
        <v>17</v>
      </c>
      <c r="H11" s="951" t="s">
        <v>585</v>
      </c>
      <c r="I11" s="714"/>
      <c r="J11" s="952">
        <v>728</v>
      </c>
      <c r="K11" s="952">
        <v>4080</v>
      </c>
      <c r="L11" s="1062"/>
      <c r="M11" s="1062"/>
      <c r="N11" s="716">
        <v>2184</v>
      </c>
      <c r="O11" s="716">
        <v>1456</v>
      </c>
      <c r="P11" s="716"/>
      <c r="Q11" s="716">
        <v>728</v>
      </c>
      <c r="R11" s="716">
        <v>2184</v>
      </c>
      <c r="S11" s="716"/>
      <c r="T11" s="717"/>
      <c r="U11" s="716"/>
      <c r="V11" s="1063"/>
      <c r="W11" s="1063"/>
      <c r="X11" s="716"/>
      <c r="Y11" s="716"/>
      <c r="Z11" s="716"/>
      <c r="AA11" s="716"/>
      <c r="AB11" s="716"/>
      <c r="AC11" s="716"/>
      <c r="AD11" s="753">
        <f>IF(NFI_Expiration=1,IF($A11&lt;VLOOKUP(I$5,NFI,5,0),1,0)*Data_NFI_t[[#This Row],[Hygiene Kit]],0)</f>
        <v>0</v>
      </c>
      <c r="AE11" s="753">
        <f>IF(NFI_Expiration=1,IF($A11&lt;VLOOKUP(L$5,NFI,5,0),1,0)*Data_NFI_t[[#This Row],[NFI Core Kit]],0)</f>
        <v>0</v>
      </c>
      <c r="AF11" s="715">
        <f>IF(NFI_Expiration=1,IF($A11&lt;VLOOKUP(M$5,NFI,5,0),1,0)*Data_NFI_t[[#This Row],[Sanitary Kit]],0)</f>
        <v>0</v>
      </c>
      <c r="AG11" s="715"/>
      <c r="AH11" s="715">
        <f>IF(NFI_Expiration=1,IF($A11&lt;VLOOKUP(N$5,NFI,5,0),1,0)*Data_NFI_t[[#This Row],[Mosquito net]],0)</f>
        <v>2184</v>
      </c>
      <c r="AI11" s="715">
        <f>IF(NFI_Expiration=1,IF($A11&lt;VLOOKUP(O$5,NFI,5,0),1,0)*Data_NFI_t[[#This Row],[Tarpaulin]],0)</f>
        <v>1456</v>
      </c>
      <c r="AJ11" s="715">
        <f>IF(NFI_Expiration=1,IF($A11&lt;VLOOKUP(P$5,NFI,5,0),1,0)*Data_NFI_t[[#This Row],[Blanket]],0)</f>
        <v>0</v>
      </c>
      <c r="AK11" s="715">
        <f>IF(NFI_Expiration=1,IF($A11&lt;VLOOKUP(Q$5,NFI,5,0),1,0)*Data_NFI_t[[#This Row],[Kitchen Set]],0)</f>
        <v>728</v>
      </c>
      <c r="AL11" s="715">
        <f>IF(NFI_Expiration=1,IF($A11&lt;VLOOKUP(R$5,NFI,5,0),1,0)*Data_NFI_t[[#This Row],[Complementary Kit]],0)</f>
        <v>2184</v>
      </c>
      <c r="AM11" s="715">
        <f>IF(NFI_Expiration=1,IF($A11&lt;VLOOKUP(S$5,NFI,5,0),1,0)*Data_NFI_t[[#This Row],[Plastic Bucket]],0)</f>
        <v>0</v>
      </c>
      <c r="AN11" s="753">
        <f>IF(NFI_Expiration=1,IF($A11&lt;VLOOKUP(T$5,NFI,5,0),1,0)*Data_NFI_t[[#This Row],[Jerry Can]],0)</f>
        <v>0</v>
      </c>
      <c r="AO11" s="753">
        <f>IF(NFI_Expiration=1,IF($A11&lt;VLOOKUP(U$5,NFI,5,0),1,0)*Data_NFI_t[[#This Row],[Plastic Mat]],0)*IF(Data_NFI_t[[#This Row],[Distribution Date]]&gt;"01-06-2015",1,2.5)</f>
        <v>0</v>
      </c>
      <c r="AP11" s="753">
        <f>IF(NFI_Expiration=1,IF($A11&lt;VLOOKUP(V$5,NFI,5,0),1,0)*Data_NFI_t[[#This Row],[Adult Clothes]],0)</f>
        <v>0</v>
      </c>
      <c r="AQ11" s="753">
        <f>IF(NFI_Expiration=1,IF($A11&lt;VLOOKUP(W$5,NFI,5,0),1,0)*Data_NFI_t[[#This Row],[Children Clothes]],0)</f>
        <v>0</v>
      </c>
      <c r="AR11" s="753">
        <f>IF(NFI_Expiration=1,IF($A11&lt;VLOOKUP(X$5,NFI,5,0),1,0)*Data_NFI_t[[#This Row],[Sewing Kit]],0)</f>
        <v>0</v>
      </c>
      <c r="AS11" s="753">
        <f>IF(NFI_Expiration=1,IF($A11&lt;VLOOKUP(X$5,NFI,5,0),1,0)*Data_NFI_t[[#This Row],[Solar Lantern]],0)</f>
        <v>0</v>
      </c>
      <c r="AT11" s="754" t="str">
        <f ca="1">IFERROR(OFFSET(Camp_List[P_Code],MATCH(Data_NFI_t[[#This Row],[Camp Name]],Camp_List[Camp Name],0)-1,0,1,1),"")</f>
        <v>MMR012CMP098</v>
      </c>
      <c r="AU11" s="755" t="str">
        <f ca="1">IFERROR(OFFSET(Camp_List[Status],MATCH(Data_NFI_t[[#This Row],[Camp Name]],Camp_List[Camp Name],0)-1,0,1,1),"")</f>
        <v>Open</v>
      </c>
      <c r="AV11" s="754"/>
      <c r="AY11" s="747"/>
    </row>
    <row r="12" spans="1:73" s="745" customFormat="1" ht="21.75" customHeight="1" x14ac:dyDescent="0.25">
      <c r="A12" s="948">
        <f t="shared" ref="A12:A17" si="1">IF(ISBLANK(C12),"",(Report_Date-C12)/30)</f>
        <v>3.8333333333333335</v>
      </c>
      <c r="B12" s="949">
        <f>YEAR(Data_NFI_t[[#This Row],[Distribution Date]])</f>
        <v>2018</v>
      </c>
      <c r="C12" s="973">
        <v>43319</v>
      </c>
      <c r="D12" s="947" t="s">
        <v>575</v>
      </c>
      <c r="E12" s="947" t="s">
        <v>575</v>
      </c>
      <c r="F12" s="947" t="s">
        <v>7</v>
      </c>
      <c r="G12" s="951" t="s">
        <v>17</v>
      </c>
      <c r="H12" s="951" t="s">
        <v>66</v>
      </c>
      <c r="I12" s="714"/>
      <c r="J12" s="952">
        <v>30</v>
      </c>
      <c r="K12" s="952">
        <v>150</v>
      </c>
      <c r="L12" s="715"/>
      <c r="M12" s="715"/>
      <c r="N12" s="716"/>
      <c r="O12" s="716">
        <v>30</v>
      </c>
      <c r="P12" s="716"/>
      <c r="Q12" s="716"/>
      <c r="R12" s="716"/>
      <c r="S12" s="716"/>
      <c r="T12" s="717"/>
      <c r="U12" s="1032"/>
      <c r="V12" s="887"/>
      <c r="W12" s="887"/>
      <c r="X12" s="716"/>
      <c r="Y12" s="716"/>
      <c r="Z12" s="716"/>
      <c r="AA12" s="716"/>
      <c r="AB12" s="716"/>
      <c r="AC12" s="716"/>
      <c r="AD12" s="753">
        <f>IF(NFI_Expiration=1,IF($A12&lt;VLOOKUP(I$5,NFI,5,0),1,0)*Data_NFI_t[[#This Row],[Hygiene Kit]],0)</f>
        <v>0</v>
      </c>
      <c r="AE12" s="753">
        <f>IF(NFI_Expiration=1,IF($A12&lt;VLOOKUP(L$5,NFI,5,0),1,0)*Data_NFI_t[[#This Row],[NFI Core Kit]],0)</f>
        <v>0</v>
      </c>
      <c r="AF12" s="715">
        <f>IF(NFI_Expiration=1,IF($A12&lt;VLOOKUP(M$5,NFI,5,0),1,0)*Data_NFI_t[[#This Row],[Sanitary Kit]],0)</f>
        <v>0</v>
      </c>
      <c r="AG12" s="1055">
        <f>IF(NFI_Expiration=1,IF($A12&lt;VLOOKUP(AC$5,NFI,5,0),1,0)*Data_NFI_t[[#This Row],[Rope]],0)</f>
        <v>0</v>
      </c>
      <c r="AH12" s="715">
        <f>IF(NFI_Expiration=1,IF($A12&lt;VLOOKUP(N$5,NFI,5,0),1,0)*Data_NFI_t[[#This Row],[Mosquito net]],0)</f>
        <v>0</v>
      </c>
      <c r="AI12" s="715">
        <f>IF(NFI_Expiration=1,IF($A12&lt;VLOOKUP(O$5,NFI,5,0),1,0)*Data_NFI_t[[#This Row],[Tarpaulin]],0)</f>
        <v>30</v>
      </c>
      <c r="AJ12" s="715">
        <f>IF(NFI_Expiration=1,IF($A12&lt;VLOOKUP(P$5,NFI,5,0),1,0)*Data_NFI_t[[#This Row],[Blanket]],0)</f>
        <v>0</v>
      </c>
      <c r="AK12" s="715">
        <f>IF(NFI_Expiration=1,IF($A12&lt;VLOOKUP(Q$5,NFI,5,0),1,0)*Data_NFI_t[[#This Row],[Kitchen Set]],0)</f>
        <v>0</v>
      </c>
      <c r="AL12" s="715">
        <f>IF(NFI_Expiration=1,IF($A12&lt;VLOOKUP(R$5,NFI,5,0),1,0)*Data_NFI_t[[#This Row],[Complementary Kit]],0)</f>
        <v>0</v>
      </c>
      <c r="AM12" s="715">
        <f>IF(NFI_Expiration=1,IF($A12&lt;VLOOKUP(S$5,NFI,5,0),1,0)*Data_NFI_t[[#This Row],[Plastic Bucket]],0)</f>
        <v>0</v>
      </c>
      <c r="AN12" s="753">
        <f>IF(NFI_Expiration=1,IF($A12&lt;VLOOKUP(T$5,NFI,5,0),1,0)*Data_NFI_t[[#This Row],[Jerry Can]],0)</f>
        <v>0</v>
      </c>
      <c r="AO12" s="753">
        <f>IF(NFI_Expiration=1,IF($A12&lt;VLOOKUP(U$5,NFI,5,0),1,0)*Data_NFI_t[[#This Row],[Plastic Mat]],0)*IF(Data_NFI_t[[#This Row],[Distribution Date]]&gt;"01-06-2015",1,2.5)</f>
        <v>0</v>
      </c>
      <c r="AP12" s="753">
        <f>IF(NFI_Expiration=1,IF($A12&lt;VLOOKUP(V$5,NFI,5,0),1,0)*Data_NFI_t[[#This Row],[Adult Clothes]],0)</f>
        <v>0</v>
      </c>
      <c r="AQ12" s="753">
        <f>IF(NFI_Expiration=1,IF($A12&lt;VLOOKUP(W$5,NFI,5,0),1,0)*Data_NFI_t[[#This Row],[Children Clothes]],0)</f>
        <v>0</v>
      </c>
      <c r="AR12" s="753">
        <f>IF(NFI_Expiration=1,IF($A12&lt;VLOOKUP(X$5,NFI,5,0),1,0)*Data_NFI_t[[#This Row],[Sewing Kit]],0)</f>
        <v>0</v>
      </c>
      <c r="AS12" s="753">
        <f>IF(NFI_Expiration=1,IF($A12&lt;VLOOKUP(X$5,NFI,5,0),1,0)*Data_NFI_t[[#This Row],[Solar Lantern]],0)</f>
        <v>0</v>
      </c>
      <c r="AT12" s="754" t="str">
        <f ca="1">IFERROR(OFFSET(Camp_List[P_Code],MATCH(Data_NFI_t[[#This Row],[Camp Name]],Camp_List[Camp Name],0)-1,0,1,1),"")</f>
        <v>MMR012CMP046</v>
      </c>
      <c r="AU12" s="755" t="str">
        <f ca="1">IFERROR(OFFSET(Camp_List[Status],MATCH(Data_NFI_t[[#This Row],[Camp Name]],Camp_List[Camp Name],0)-1,0,1,1),"")</f>
        <v>Open</v>
      </c>
      <c r="AV12" s="754"/>
      <c r="AY12" s="747"/>
    </row>
    <row r="13" spans="1:73" s="745" customFormat="1" ht="21.75" customHeight="1" x14ac:dyDescent="0.25">
      <c r="A13" s="948">
        <f t="shared" si="1"/>
        <v>4.0666666666666664</v>
      </c>
      <c r="B13" s="949">
        <f>YEAR(Data_NFI_t[[#This Row],[Distribution Date]])</f>
        <v>2018</v>
      </c>
      <c r="C13" s="973">
        <v>43312</v>
      </c>
      <c r="D13" s="947" t="s">
        <v>273</v>
      </c>
      <c r="E13" s="947" t="s">
        <v>273</v>
      </c>
      <c r="F13" s="947" t="s">
        <v>7</v>
      </c>
      <c r="G13" s="951" t="s">
        <v>17</v>
      </c>
      <c r="H13" s="951" t="s">
        <v>61</v>
      </c>
      <c r="I13" s="714"/>
      <c r="J13" s="952">
        <v>80</v>
      </c>
      <c r="K13" s="952">
        <v>474</v>
      </c>
      <c r="L13" s="715"/>
      <c r="M13" s="715"/>
      <c r="N13" s="716"/>
      <c r="O13" s="716">
        <v>160</v>
      </c>
      <c r="P13" s="716"/>
      <c r="Q13" s="716"/>
      <c r="R13" s="716"/>
      <c r="S13" s="716"/>
      <c r="T13" s="717"/>
      <c r="U13" s="1032"/>
      <c r="V13" s="887"/>
      <c r="W13" s="887"/>
      <c r="X13" s="716"/>
      <c r="Y13" s="716"/>
      <c r="Z13" s="716"/>
      <c r="AA13" s="716"/>
      <c r="AB13" s="716"/>
      <c r="AC13" s="716">
        <v>80</v>
      </c>
      <c r="AD13" s="709">
        <f>IF(NFI_Expiration=1,IF($A13&lt;VLOOKUP(I$5,NFI,5,0),1,0)*Data_NFI_t[[#This Row],[Hygiene Kit]],0)</f>
        <v>0</v>
      </c>
      <c r="AE13" s="709">
        <f>IF(NFI_Expiration=1,IF($A13&lt;VLOOKUP(L$5,NFI,5,0),1,0)*Data_NFI_t[[#This Row],[NFI Core Kit]],0)</f>
        <v>0</v>
      </c>
      <c r="AF13" s="710">
        <f>IF(NFI_Expiration=1,IF($A13&lt;VLOOKUP(M$5,NFI,5,0),1,0)*Data_NFI_t[[#This Row],[Sanitary Kit]],0)</f>
        <v>0</v>
      </c>
      <c r="AG13" s="1055">
        <f>IF(NFI_Expiration=1,IF($A13&lt;VLOOKUP(AC$5,NFI,5,0),1,0)*Data_NFI_t[[#This Row],[Rope]],0)</f>
        <v>80</v>
      </c>
      <c r="AH13" s="710">
        <f>IF(NFI_Expiration=1,IF($A13&lt;VLOOKUP(N$5,NFI,5,0),1,0)*Data_NFI_t[[#This Row],[Mosquito net]],0)</f>
        <v>0</v>
      </c>
      <c r="AI13" s="710">
        <f>IF(NFI_Expiration=1,IF($A13&lt;VLOOKUP(O$5,NFI,5,0),1,0)*Data_NFI_t[[#This Row],[Tarpaulin]],0)</f>
        <v>160</v>
      </c>
      <c r="AJ13" s="710">
        <f>IF(NFI_Expiration=1,IF($A13&lt;VLOOKUP(P$5,NFI,5,0),1,0)*Data_NFI_t[[#This Row],[Blanket]],0)</f>
        <v>0</v>
      </c>
      <c r="AK13" s="710">
        <f>IF(NFI_Expiration=1,IF($A13&lt;VLOOKUP(Q$5,NFI,5,0),1,0)*Data_NFI_t[[#This Row],[Kitchen Set]],0)</f>
        <v>0</v>
      </c>
      <c r="AL13" s="710">
        <f>IF(NFI_Expiration=1,IF($A13&lt;VLOOKUP(R$5,NFI,5,0),1,0)*Data_NFI_t[[#This Row],[Complementary Kit]],0)</f>
        <v>0</v>
      </c>
      <c r="AM13" s="710">
        <f>IF(NFI_Expiration=1,IF($A13&lt;VLOOKUP(S$5,NFI,5,0),1,0)*Data_NFI_t[[#This Row],[Plastic Bucket]],0)</f>
        <v>0</v>
      </c>
      <c r="AN13" s="709">
        <f>IF(NFI_Expiration=1,IF($A13&lt;VLOOKUP(T$5,NFI,5,0),1,0)*Data_NFI_t[[#This Row],[Jerry Can]],0)</f>
        <v>0</v>
      </c>
      <c r="AO13" s="709">
        <f>IF(NFI_Expiration=1,IF($A13&lt;VLOOKUP(U$5,NFI,5,0),1,0)*Data_NFI_t[[#This Row],[Plastic Mat]],0)*IF(Data_NFI_t[[#This Row],[Distribution Date]]&gt;"01-06-2015",1,2.5)</f>
        <v>0</v>
      </c>
      <c r="AP13" s="709">
        <f>IF(NFI_Expiration=1,IF($A13&lt;VLOOKUP(V$5,NFI,5,0),1,0)*Data_NFI_t[[#This Row],[Adult Clothes]],0)</f>
        <v>0</v>
      </c>
      <c r="AQ13" s="709">
        <f>IF(NFI_Expiration=1,IF($A13&lt;VLOOKUP(W$5,NFI,5,0),1,0)*Data_NFI_t[[#This Row],[Children Clothes]],0)</f>
        <v>0</v>
      </c>
      <c r="AR13" s="709">
        <f>IF(NFI_Expiration=1,IF($A13&lt;VLOOKUP(X$5,NFI,5,0),1,0)*Data_NFI_t[[#This Row],[Sewing Kit]],0)</f>
        <v>0</v>
      </c>
      <c r="AS13" s="709">
        <f>IF(NFI_Expiration=1,IF($A13&lt;VLOOKUP(X$5,NFI,5,0),1,0)*Data_NFI_t[[#This Row],[Solar Lantern]],0)</f>
        <v>0</v>
      </c>
      <c r="AT13" s="105" t="str">
        <f ca="1">IFERROR(OFFSET(Camp_List[P_Code],MATCH(Data_NFI_t[[#This Row],[Camp Name]],Camp_List[Camp Name],0)-1,0,1,1),"")</f>
        <v>MMR012CMP041</v>
      </c>
      <c r="AU13" s="412" t="str">
        <f ca="1">IFERROR(OFFSET(Camp_List[Status],MATCH(Data_NFI_t[[#This Row],[Camp Name]],Camp_List[Camp Name],0)-1,0,1,1),"")</f>
        <v>Open</v>
      </c>
      <c r="AV13" s="105"/>
      <c r="AY13" s="747"/>
    </row>
    <row r="14" spans="1:73" s="43" customFormat="1" ht="22.5" customHeight="1" x14ac:dyDescent="0.25">
      <c r="A14" s="948">
        <f t="shared" si="1"/>
        <v>4.9000000000000004</v>
      </c>
      <c r="B14" s="949">
        <f>YEAR(Data_NFI_t[[#This Row],[Distribution Date]])</f>
        <v>2018</v>
      </c>
      <c r="C14" s="973">
        <v>43287</v>
      </c>
      <c r="D14" s="1022" t="s">
        <v>270</v>
      </c>
      <c r="E14" s="1022" t="s">
        <v>273</v>
      </c>
      <c r="F14" s="1022" t="s">
        <v>7</v>
      </c>
      <c r="G14" s="951" t="s">
        <v>17</v>
      </c>
      <c r="H14" s="951" t="s">
        <v>61</v>
      </c>
      <c r="I14" s="205"/>
      <c r="J14" s="952">
        <v>144</v>
      </c>
      <c r="K14" s="952">
        <v>880</v>
      </c>
      <c r="L14" s="715"/>
      <c r="M14" s="715"/>
      <c r="N14" s="716"/>
      <c r="O14" s="716">
        <v>288</v>
      </c>
      <c r="P14" s="716"/>
      <c r="Q14" s="716"/>
      <c r="R14" s="716"/>
      <c r="S14" s="971"/>
      <c r="T14" s="972"/>
      <c r="U14" s="716"/>
      <c r="V14" s="887"/>
      <c r="W14" s="887"/>
      <c r="X14" s="716"/>
      <c r="Y14" s="716"/>
      <c r="Z14" s="716"/>
      <c r="AA14" s="716"/>
      <c r="AB14" s="716"/>
      <c r="AC14" s="716"/>
      <c r="AD14" s="753">
        <f>IF(NFI_Expiration=1,IF($A14&lt;VLOOKUP(I$5,NFI,5,0),1,0)*Data_NFI_t[[#This Row],[Hygiene Kit]],0)</f>
        <v>0</v>
      </c>
      <c r="AE14" s="753">
        <f>IF(NFI_Expiration=1,IF($A14&lt;VLOOKUP(L$5,NFI,5,0),1,0)*Data_NFI_t[[#This Row],[NFI Core Kit]],0)</f>
        <v>0</v>
      </c>
      <c r="AF14" s="715">
        <f>IF(NFI_Expiration=1,IF($A14&lt;VLOOKUP(M$5,NFI,5,0),1,0)*Data_NFI_t[[#This Row],[Sanitary Kit]],0)</f>
        <v>0</v>
      </c>
      <c r="AG14" s="1055">
        <f>IF(NFI_Expiration=1,IF($A14&lt;VLOOKUP(AC$5,NFI,5,0),1,0)*Data_NFI_t[[#This Row],[Rope]],0)</f>
        <v>0</v>
      </c>
      <c r="AH14" s="715">
        <f>IF(NFI_Expiration=1,IF($A14&lt;VLOOKUP(N$5,NFI,5,0),1,0)*Data_NFI_t[[#This Row],[Mosquito net]],0)</f>
        <v>0</v>
      </c>
      <c r="AI14" s="715">
        <f>IF(NFI_Expiration=1,IF($A14&lt;VLOOKUP(O$5,NFI,5,0),1,0)*Data_NFI_t[[#This Row],[Tarpaulin]],0)</f>
        <v>288</v>
      </c>
      <c r="AJ14" s="715">
        <f>IF(NFI_Expiration=1,IF($A14&lt;VLOOKUP(P$5,NFI,5,0),1,0)*Data_NFI_t[[#This Row],[Blanket]],0)</f>
        <v>0</v>
      </c>
      <c r="AK14" s="715">
        <f>IF(NFI_Expiration=1,IF($A14&lt;VLOOKUP(Q$5,NFI,5,0),1,0)*Data_NFI_t[[#This Row],[Kitchen Set]],0)</f>
        <v>0</v>
      </c>
      <c r="AL14" s="715">
        <f>IF(NFI_Expiration=1,IF($A14&lt;VLOOKUP(R$5,NFI,5,0),1,0)*Data_NFI_t[[#This Row],[Complementary Kit]],0)</f>
        <v>0</v>
      </c>
      <c r="AM14" s="715">
        <f>IF(NFI_Expiration=1,IF($A14&lt;VLOOKUP(S$5,NFI,5,0),1,0)*Data_NFI_t[[#This Row],[Plastic Bucket]],0)</f>
        <v>0</v>
      </c>
      <c r="AN14" s="753">
        <f>IF(NFI_Expiration=1,IF($A14&lt;VLOOKUP(T$5,NFI,5,0),1,0)*Data_NFI_t[[#This Row],[Jerry Can]],0)</f>
        <v>0</v>
      </c>
      <c r="AO14" s="753">
        <f>IF(NFI_Expiration=1,IF($A14&lt;VLOOKUP(U$5,NFI,5,0),1,0)*Data_NFI_t[[#This Row],[Plastic Mat]],0)*IF(Data_NFI_t[[#This Row],[Distribution Date]]&gt;"01-06-2015",1,2.5)</f>
        <v>0</v>
      </c>
      <c r="AP14" s="753">
        <f>IF(NFI_Expiration=1,IF($A14&lt;VLOOKUP(V$5,NFI,5,0),1,0)*Data_NFI_t[[#This Row],[Adult Clothes]],0)</f>
        <v>0</v>
      </c>
      <c r="AQ14" s="753">
        <f>IF(NFI_Expiration=1,IF($A14&lt;VLOOKUP(W$5,NFI,5,0),1,0)*Data_NFI_t[[#This Row],[Children Clothes]],0)</f>
        <v>0</v>
      </c>
      <c r="AR14" s="753">
        <f>IF(NFI_Expiration=1,IF($A14&lt;VLOOKUP(X$5,NFI,5,0),1,0)*Data_NFI_t[[#This Row],[Sewing Kit]],0)</f>
        <v>0</v>
      </c>
      <c r="AS14" s="753">
        <f>IF(NFI_Expiration=1,IF($A14&lt;VLOOKUP(X$5,NFI,5,0),1,0)*Data_NFI_t[[#This Row],[Solar Lantern]],0)</f>
        <v>0</v>
      </c>
      <c r="AT14" s="754" t="str">
        <f ca="1">IFERROR(OFFSET(Camp_List[P_Code],MATCH(Data_NFI_t[[#This Row],[Camp Name]],Camp_List[Camp Name],0)-1,0,1,1),"")</f>
        <v>MMR012CMP041</v>
      </c>
      <c r="AU14" s="755" t="str">
        <f ca="1">IFERROR(OFFSET(Camp_List[Status],MATCH(Data_NFI_t[[#This Row],[Camp Name]],Camp_List[Camp Name],0)-1,0,1,1),"")</f>
        <v>Open</v>
      </c>
      <c r="AV14" s="754"/>
      <c r="AY14" s="648"/>
    </row>
    <row r="15" spans="1:73" s="43" customFormat="1" ht="22.5" customHeight="1" x14ac:dyDescent="0.25">
      <c r="A15" s="948">
        <f t="shared" si="1"/>
        <v>4.9333333333333336</v>
      </c>
      <c r="B15" s="949">
        <f>YEAR(Data_NFI_t[[#This Row],[Distribution Date]])</f>
        <v>2018</v>
      </c>
      <c r="C15" s="973">
        <v>43286</v>
      </c>
      <c r="D15" s="1022" t="s">
        <v>904</v>
      </c>
      <c r="E15" s="1022" t="s">
        <v>904</v>
      </c>
      <c r="F15" s="1022" t="s">
        <v>7</v>
      </c>
      <c r="G15" s="951" t="s">
        <v>17</v>
      </c>
      <c r="H15" s="951" t="s">
        <v>580</v>
      </c>
      <c r="I15" s="205"/>
      <c r="J15" s="952">
        <v>141</v>
      </c>
      <c r="K15" s="952">
        <v>141</v>
      </c>
      <c r="L15" s="715"/>
      <c r="M15" s="715"/>
      <c r="N15" s="716"/>
      <c r="O15" s="716"/>
      <c r="P15" s="716"/>
      <c r="Q15" s="716"/>
      <c r="R15" s="716"/>
      <c r="S15" s="971"/>
      <c r="T15" s="972"/>
      <c r="U15" s="716"/>
      <c r="V15" s="887"/>
      <c r="W15" s="887"/>
      <c r="X15" s="716"/>
      <c r="Y15" s="716">
        <v>141</v>
      </c>
      <c r="Z15" s="716"/>
      <c r="AA15" s="716"/>
      <c r="AB15" s="716"/>
      <c r="AC15" s="716"/>
      <c r="AD15" s="709">
        <f>IF(NFI_Expiration=1,IF($A15&lt;VLOOKUP(I$5,NFI,5,0),1,0)*Data_NFI_t[[#This Row],[Hygiene Kit]],0)</f>
        <v>0</v>
      </c>
      <c r="AE15" s="709">
        <f>IF(NFI_Expiration=1,IF($A15&lt;VLOOKUP(L$5,NFI,5,0),1,0)*Data_NFI_t[[#This Row],[NFI Core Kit]],0)</f>
        <v>0</v>
      </c>
      <c r="AF15" s="710">
        <f>IF(NFI_Expiration=1,IF($A15&lt;VLOOKUP(M$5,NFI,5,0),1,0)*Data_NFI_t[[#This Row],[Sanitary Kit]],0)</f>
        <v>0</v>
      </c>
      <c r="AG15" s="1055">
        <f>IF(NFI_Expiration=1,IF($A15&lt;VLOOKUP(AC$5,NFI,5,0),1,0)*Data_NFI_t[[#This Row],[Rope]],0)</f>
        <v>0</v>
      </c>
      <c r="AH15" s="710">
        <f>IF(NFI_Expiration=1,IF($A15&lt;VLOOKUP(N$5,NFI,5,0),1,0)*Data_NFI_t[[#This Row],[Mosquito net]],0)</f>
        <v>0</v>
      </c>
      <c r="AI15" s="710">
        <f>IF(NFI_Expiration=1,IF($A15&lt;VLOOKUP(O$5,NFI,5,0),1,0)*Data_NFI_t[[#This Row],[Tarpaulin]],0)</f>
        <v>0</v>
      </c>
      <c r="AJ15" s="710">
        <f>IF(NFI_Expiration=1,IF($A15&lt;VLOOKUP(P$5,NFI,5,0),1,0)*Data_NFI_t[[#This Row],[Blanket]],0)</f>
        <v>0</v>
      </c>
      <c r="AK15" s="710">
        <f>IF(NFI_Expiration=1,IF($A15&lt;VLOOKUP(Q$5,NFI,5,0),1,0)*Data_NFI_t[[#This Row],[Kitchen Set]],0)</f>
        <v>0</v>
      </c>
      <c r="AL15" s="710">
        <f>IF(NFI_Expiration=1,IF($A15&lt;VLOOKUP(R$5,NFI,5,0),1,0)*Data_NFI_t[[#This Row],[Complementary Kit]],0)</f>
        <v>0</v>
      </c>
      <c r="AM15" s="710">
        <f>IF(NFI_Expiration=1,IF($A15&lt;VLOOKUP(S$5,NFI,5,0),1,0)*Data_NFI_t[[#This Row],[Plastic Bucket]],0)</f>
        <v>0</v>
      </c>
      <c r="AN15" s="709">
        <f>IF(NFI_Expiration=1,IF($A15&lt;VLOOKUP(T$5,NFI,5,0),1,0)*Data_NFI_t[[#This Row],[Jerry Can]],0)</f>
        <v>0</v>
      </c>
      <c r="AO15" s="709">
        <f>IF(NFI_Expiration=1,IF($A15&lt;VLOOKUP(U$5,NFI,5,0),1,0)*Data_NFI_t[[#This Row],[Plastic Mat]],0)*IF(Data_NFI_t[[#This Row],[Distribution Date]]&gt;"01-06-2015",1,2.5)</f>
        <v>0</v>
      </c>
      <c r="AP15" s="709">
        <f>IF(NFI_Expiration=1,IF($A15&lt;VLOOKUP(V$5,NFI,5,0),1,0)*Data_NFI_t[[#This Row],[Adult Clothes]],0)</f>
        <v>0</v>
      </c>
      <c r="AQ15" s="709">
        <f>IF(NFI_Expiration=1,IF($A15&lt;VLOOKUP(W$5,NFI,5,0),1,0)*Data_NFI_t[[#This Row],[Children Clothes]],0)</f>
        <v>0</v>
      </c>
      <c r="AR15" s="709">
        <f>IF(NFI_Expiration=1,IF($A15&lt;VLOOKUP(X$5,NFI,5,0),1,0)*Data_NFI_t[[#This Row],[Sewing Kit]],0)</f>
        <v>0</v>
      </c>
      <c r="AS15" s="709">
        <f>IF(NFI_Expiration=1,IF($A15&lt;VLOOKUP(X$5,NFI,5,0),1,0)*Data_NFI_t[[#This Row],[Solar Lantern]],0)</f>
        <v>141</v>
      </c>
      <c r="AT15" s="105" t="str">
        <f ca="1">IFERROR(OFFSET(Camp_List[P_Code],MATCH(Data_NFI_t[[#This Row],[Camp Name]],Camp_List[Camp Name],0)-1,0,1,1),"")</f>
        <v>MMR012CMP092</v>
      </c>
      <c r="AU15" s="412" t="str">
        <f ca="1">IFERROR(OFFSET(Camp_List[Status],MATCH(Data_NFI_t[[#This Row],[Camp Name]],Camp_List[Camp Name],0)-1,0,1,1),"")</f>
        <v>Open</v>
      </c>
      <c r="AV15" s="105"/>
      <c r="AY15" s="648"/>
    </row>
    <row r="16" spans="1:73" s="43" customFormat="1" ht="22.5" customHeight="1" x14ac:dyDescent="0.25">
      <c r="A16" s="948">
        <f t="shared" si="1"/>
        <v>4.9666666666666668</v>
      </c>
      <c r="B16" s="949">
        <f>YEAR(Data_NFI_t[[#This Row],[Distribution Date]])</f>
        <v>2018</v>
      </c>
      <c r="C16" s="973">
        <v>43285</v>
      </c>
      <c r="D16" s="1022" t="s">
        <v>904</v>
      </c>
      <c r="E16" s="1022" t="s">
        <v>904</v>
      </c>
      <c r="F16" s="1022" t="s">
        <v>7</v>
      </c>
      <c r="G16" s="951" t="s">
        <v>17</v>
      </c>
      <c r="H16" s="951" t="s">
        <v>580</v>
      </c>
      <c r="I16" s="205"/>
      <c r="J16" s="952">
        <v>76</v>
      </c>
      <c r="K16" s="952">
        <v>76</v>
      </c>
      <c r="L16" s="715"/>
      <c r="M16" s="715"/>
      <c r="N16" s="716">
        <v>141</v>
      </c>
      <c r="O16" s="716"/>
      <c r="P16" s="716">
        <v>141</v>
      </c>
      <c r="Q16" s="716">
        <v>2</v>
      </c>
      <c r="R16" s="716"/>
      <c r="S16" s="971"/>
      <c r="T16" s="972"/>
      <c r="U16" s="716"/>
      <c r="V16" s="887"/>
      <c r="W16" s="887"/>
      <c r="X16" s="716"/>
      <c r="Y16" s="716"/>
      <c r="Z16" s="716"/>
      <c r="AA16" s="716"/>
      <c r="AB16" s="716"/>
      <c r="AC16" s="716"/>
      <c r="AD16" s="709">
        <f>IF(NFI_Expiration=1,IF($A16&lt;VLOOKUP(I$5,NFI,5,0),1,0)*Data_NFI_t[[#This Row],[Hygiene Kit]],0)</f>
        <v>0</v>
      </c>
      <c r="AE16" s="709">
        <f>IF(NFI_Expiration=1,IF($A16&lt;VLOOKUP(L$5,NFI,5,0),1,0)*Data_NFI_t[[#This Row],[NFI Core Kit]],0)</f>
        <v>0</v>
      </c>
      <c r="AF16" s="710">
        <f>IF(NFI_Expiration=1,IF($A16&lt;VLOOKUP(M$5,NFI,5,0),1,0)*Data_NFI_t[[#This Row],[Sanitary Kit]],0)</f>
        <v>0</v>
      </c>
      <c r="AG16" s="1055">
        <f>IF(NFI_Expiration=1,IF($A16&lt;VLOOKUP(AC$5,NFI,5,0),1,0)*Data_NFI_t[[#This Row],[Rope]],0)</f>
        <v>0</v>
      </c>
      <c r="AH16" s="710">
        <f>IF(NFI_Expiration=1,IF($A16&lt;VLOOKUP(N$5,NFI,5,0),1,0)*Data_NFI_t[[#This Row],[Mosquito net]],0)</f>
        <v>141</v>
      </c>
      <c r="AI16" s="710">
        <f>IF(NFI_Expiration=1,IF($A16&lt;VLOOKUP(O$5,NFI,5,0),1,0)*Data_NFI_t[[#This Row],[Tarpaulin]],0)</f>
        <v>0</v>
      </c>
      <c r="AJ16" s="710">
        <f>IF(NFI_Expiration=1,IF($A16&lt;VLOOKUP(P$5,NFI,5,0),1,0)*Data_NFI_t[[#This Row],[Blanket]],0)</f>
        <v>141</v>
      </c>
      <c r="AK16" s="710">
        <f>IF(NFI_Expiration=1,IF($A16&lt;VLOOKUP(Q$5,NFI,5,0),1,0)*Data_NFI_t[[#This Row],[Kitchen Set]],0)</f>
        <v>2</v>
      </c>
      <c r="AL16" s="710">
        <f>IF(NFI_Expiration=1,IF($A16&lt;VLOOKUP(R$5,NFI,5,0),1,0)*Data_NFI_t[[#This Row],[Complementary Kit]],0)</f>
        <v>0</v>
      </c>
      <c r="AM16" s="710">
        <f>IF(NFI_Expiration=1,IF($A16&lt;VLOOKUP(S$5,NFI,5,0),1,0)*Data_NFI_t[[#This Row],[Plastic Bucket]],0)</f>
        <v>0</v>
      </c>
      <c r="AN16" s="709">
        <f>IF(NFI_Expiration=1,IF($A16&lt;VLOOKUP(T$5,NFI,5,0),1,0)*Data_NFI_t[[#This Row],[Jerry Can]],0)</f>
        <v>0</v>
      </c>
      <c r="AO16" s="709">
        <f>IF(NFI_Expiration=1,IF($A16&lt;VLOOKUP(U$5,NFI,5,0),1,0)*Data_NFI_t[[#This Row],[Plastic Mat]],0)*IF(Data_NFI_t[[#This Row],[Distribution Date]]&gt;"01-06-2015",1,2.5)</f>
        <v>0</v>
      </c>
      <c r="AP16" s="709">
        <f>IF(NFI_Expiration=1,IF($A16&lt;VLOOKUP(V$5,NFI,5,0),1,0)*Data_NFI_t[[#This Row],[Adult Clothes]],0)</f>
        <v>0</v>
      </c>
      <c r="AQ16" s="709">
        <f>IF(NFI_Expiration=1,IF($A16&lt;VLOOKUP(W$5,NFI,5,0),1,0)*Data_NFI_t[[#This Row],[Children Clothes]],0)</f>
        <v>0</v>
      </c>
      <c r="AR16" s="709">
        <f>IF(NFI_Expiration=1,IF($A16&lt;VLOOKUP(X$5,NFI,5,0),1,0)*Data_NFI_t[[#This Row],[Sewing Kit]],0)</f>
        <v>0</v>
      </c>
      <c r="AS16" s="709">
        <f>IF(NFI_Expiration=1,IF($A16&lt;VLOOKUP(X$5,NFI,5,0),1,0)*Data_NFI_t[[#This Row],[Solar Lantern]],0)</f>
        <v>0</v>
      </c>
      <c r="AT16" s="105" t="str">
        <f ca="1">IFERROR(OFFSET(Camp_List[P_Code],MATCH(Data_NFI_t[[#This Row],[Camp Name]],Camp_List[Camp Name],0)-1,0,1,1),"")</f>
        <v>MMR012CMP092</v>
      </c>
      <c r="AU16" s="412" t="str">
        <f ca="1">IFERROR(OFFSET(Camp_List[Status],MATCH(Data_NFI_t[[#This Row],[Camp Name]],Camp_List[Camp Name],0)-1,0,1,1),"")</f>
        <v>Open</v>
      </c>
      <c r="AV16" s="105" t="s">
        <v>1145</v>
      </c>
      <c r="AY16" s="648"/>
    </row>
    <row r="17" spans="1:51" s="43" customFormat="1" ht="22.5" customHeight="1" x14ac:dyDescent="0.25">
      <c r="A17" s="948">
        <f t="shared" si="1"/>
        <v>5</v>
      </c>
      <c r="B17" s="949">
        <f>YEAR(Data_NFI_t[[#This Row],[Distribution Date]])</f>
        <v>2018</v>
      </c>
      <c r="C17" s="973">
        <v>43284</v>
      </c>
      <c r="D17" s="1022" t="s">
        <v>904</v>
      </c>
      <c r="E17" s="1022" t="s">
        <v>904</v>
      </c>
      <c r="F17" s="1022" t="s">
        <v>7</v>
      </c>
      <c r="G17" s="951" t="s">
        <v>17</v>
      </c>
      <c r="H17" s="951" t="s">
        <v>580</v>
      </c>
      <c r="I17" s="205"/>
      <c r="J17" s="952">
        <v>207</v>
      </c>
      <c r="K17" s="952">
        <v>207</v>
      </c>
      <c r="L17" s="715"/>
      <c r="M17" s="715"/>
      <c r="N17" s="716">
        <v>61</v>
      </c>
      <c r="O17" s="716"/>
      <c r="P17" s="716">
        <v>61</v>
      </c>
      <c r="Q17" s="716">
        <v>14</v>
      </c>
      <c r="R17" s="716"/>
      <c r="S17" s="971"/>
      <c r="T17" s="972"/>
      <c r="U17" s="716"/>
      <c r="V17" s="887"/>
      <c r="W17" s="887"/>
      <c r="X17" s="716"/>
      <c r="Y17" s="716">
        <v>208</v>
      </c>
      <c r="Z17" s="716"/>
      <c r="AA17" s="716"/>
      <c r="AB17" s="716"/>
      <c r="AC17" s="716"/>
      <c r="AD17" s="709">
        <f>IF(NFI_Expiration=1,IF($A17&lt;VLOOKUP(I$5,NFI,5,0),1,0)*Data_NFI_t[[#This Row],[Hygiene Kit]],0)</f>
        <v>0</v>
      </c>
      <c r="AE17" s="709">
        <f>IF(NFI_Expiration=1,IF($A17&lt;VLOOKUP(L$5,NFI,5,0),1,0)*Data_NFI_t[[#This Row],[NFI Core Kit]],0)</f>
        <v>0</v>
      </c>
      <c r="AF17" s="710">
        <f>IF(NFI_Expiration=1,IF($A17&lt;VLOOKUP(M$5,NFI,5,0),1,0)*Data_NFI_t[[#This Row],[Sanitary Kit]],0)</f>
        <v>0</v>
      </c>
      <c r="AG17" s="1055">
        <f>IF(NFI_Expiration=1,IF($A17&lt;VLOOKUP(AC$5,NFI,5,0),1,0)*Data_NFI_t[[#This Row],[Rope]],0)</f>
        <v>0</v>
      </c>
      <c r="AH17" s="710">
        <f>IF(NFI_Expiration=1,IF($A17&lt;VLOOKUP(N$5,NFI,5,0),1,0)*Data_NFI_t[[#This Row],[Mosquito net]],0)</f>
        <v>61</v>
      </c>
      <c r="AI17" s="710">
        <f>IF(NFI_Expiration=1,IF($A17&lt;VLOOKUP(O$5,NFI,5,0),1,0)*Data_NFI_t[[#This Row],[Tarpaulin]],0)</f>
        <v>0</v>
      </c>
      <c r="AJ17" s="710">
        <f>IF(NFI_Expiration=1,IF($A17&lt;VLOOKUP(P$5,NFI,5,0),1,0)*Data_NFI_t[[#This Row],[Blanket]],0)</f>
        <v>61</v>
      </c>
      <c r="AK17" s="710">
        <f>IF(NFI_Expiration=1,IF($A17&lt;VLOOKUP(Q$5,NFI,5,0),1,0)*Data_NFI_t[[#This Row],[Kitchen Set]],0)</f>
        <v>14</v>
      </c>
      <c r="AL17" s="710">
        <f>IF(NFI_Expiration=1,IF($A17&lt;VLOOKUP(R$5,NFI,5,0),1,0)*Data_NFI_t[[#This Row],[Complementary Kit]],0)</f>
        <v>0</v>
      </c>
      <c r="AM17" s="710">
        <f>IF(NFI_Expiration=1,IF($A17&lt;VLOOKUP(S$5,NFI,5,0),1,0)*Data_NFI_t[[#This Row],[Plastic Bucket]],0)</f>
        <v>0</v>
      </c>
      <c r="AN17" s="709">
        <f>IF(NFI_Expiration=1,IF($A17&lt;VLOOKUP(T$5,NFI,5,0),1,0)*Data_NFI_t[[#This Row],[Jerry Can]],0)</f>
        <v>0</v>
      </c>
      <c r="AO17" s="709">
        <f>IF(NFI_Expiration=1,IF($A17&lt;VLOOKUP(U$5,NFI,5,0),1,0)*Data_NFI_t[[#This Row],[Plastic Mat]],0)*IF(Data_NFI_t[[#This Row],[Distribution Date]]&gt;"01-06-2015",1,2.5)</f>
        <v>0</v>
      </c>
      <c r="AP17" s="709">
        <f>IF(NFI_Expiration=1,IF($A17&lt;VLOOKUP(V$5,NFI,5,0),1,0)*Data_NFI_t[[#This Row],[Adult Clothes]],0)</f>
        <v>0</v>
      </c>
      <c r="AQ17" s="709">
        <f>IF(NFI_Expiration=1,IF($A17&lt;VLOOKUP(W$5,NFI,5,0),1,0)*Data_NFI_t[[#This Row],[Children Clothes]],0)</f>
        <v>0</v>
      </c>
      <c r="AR17" s="709">
        <f>IF(NFI_Expiration=1,IF($A17&lt;VLOOKUP(X$5,NFI,5,0),1,0)*Data_NFI_t[[#This Row],[Sewing Kit]],0)</f>
        <v>0</v>
      </c>
      <c r="AS17" s="709">
        <f>IF(NFI_Expiration=1,IF($A17&lt;VLOOKUP(X$5,NFI,5,0),1,0)*Data_NFI_t[[#This Row],[Solar Lantern]],0)</f>
        <v>208</v>
      </c>
      <c r="AT17" s="105" t="str">
        <f ca="1">IFERROR(OFFSET(Camp_List[P_Code],MATCH(Data_NFI_t[[#This Row],[Camp Name]],Camp_List[Camp Name],0)-1,0,1,1),"")</f>
        <v>MMR012CMP092</v>
      </c>
      <c r="AU17" s="412" t="str">
        <f ca="1">IFERROR(OFFSET(Camp_List[Status],MATCH(Data_NFI_t[[#This Row],[Camp Name]],Camp_List[Camp Name],0)-1,0,1,1),"")</f>
        <v>Open</v>
      </c>
      <c r="AV17" s="105" t="s">
        <v>1145</v>
      </c>
      <c r="AY17" s="648"/>
    </row>
    <row r="18" spans="1:51" s="745" customFormat="1" ht="18.75" customHeight="1" x14ac:dyDescent="0.25">
      <c r="A18" s="948">
        <f t="shared" ref="A18:A62" si="2">IF(ISBLANK(C18),"",(Report_Date-C18)/30)</f>
        <v>5.2</v>
      </c>
      <c r="B18" s="949">
        <f>YEAR(Data_NFI_t[[#This Row],[Distribution Date]])</f>
        <v>2018</v>
      </c>
      <c r="C18" s="973">
        <v>43278</v>
      </c>
      <c r="D18" s="947" t="s">
        <v>270</v>
      </c>
      <c r="E18" s="947" t="s">
        <v>575</v>
      </c>
      <c r="F18" s="947" t="s">
        <v>7</v>
      </c>
      <c r="G18" s="951" t="s">
        <v>13</v>
      </c>
      <c r="H18" s="951" t="s">
        <v>38</v>
      </c>
      <c r="I18" s="205"/>
      <c r="J18" s="952">
        <v>381</v>
      </c>
      <c r="K18" s="952">
        <v>1403</v>
      </c>
      <c r="L18" s="715"/>
      <c r="M18" s="715"/>
      <c r="N18" s="716">
        <v>762</v>
      </c>
      <c r="O18" s="716"/>
      <c r="P18" s="716">
        <v>762</v>
      </c>
      <c r="Q18" s="716">
        <v>381</v>
      </c>
      <c r="R18" s="716"/>
      <c r="S18" s="971"/>
      <c r="T18" s="972"/>
      <c r="U18" s="716">
        <v>1905</v>
      </c>
      <c r="V18" s="887"/>
      <c r="W18" s="887"/>
      <c r="X18" s="716"/>
      <c r="Y18" s="716"/>
      <c r="Z18" s="716"/>
      <c r="AA18" s="716"/>
      <c r="AB18" s="716"/>
      <c r="AC18" s="716"/>
      <c r="AD18" s="709">
        <f>IF(NFI_Expiration=1,IF($A18&lt;VLOOKUP(I$5,NFI,5,0),1,0)*Data_NFI_t[[#This Row],[Hygiene Kit]],0)</f>
        <v>0</v>
      </c>
      <c r="AE18" s="709">
        <f>IF(NFI_Expiration=1,IF($A18&lt;VLOOKUP(L$5,NFI,5,0),1,0)*Data_NFI_t[[#This Row],[NFI Core Kit]],0)</f>
        <v>0</v>
      </c>
      <c r="AF18" s="710">
        <f>IF(NFI_Expiration=1,IF($A18&lt;VLOOKUP(M$5,NFI,5,0),1,0)*Data_NFI_t[[#This Row],[Sanitary Kit]],0)</f>
        <v>0</v>
      </c>
      <c r="AG18" s="1055">
        <f>IF(NFI_Expiration=1,IF($A18&lt;VLOOKUP(AC$5,NFI,5,0),1,0)*Data_NFI_t[[#This Row],[Rope]],0)</f>
        <v>0</v>
      </c>
      <c r="AH18" s="710">
        <f>IF(NFI_Expiration=1,IF($A18&lt;VLOOKUP(N$5,NFI,5,0),1,0)*Data_NFI_t[[#This Row],[Mosquito net]],0)</f>
        <v>762</v>
      </c>
      <c r="AI18" s="710">
        <f>IF(NFI_Expiration=1,IF($A18&lt;VLOOKUP(O$5,NFI,5,0),1,0)*Data_NFI_t[[#This Row],[Tarpaulin]],0)</f>
        <v>0</v>
      </c>
      <c r="AJ18" s="710">
        <f>IF(NFI_Expiration=1,IF($A18&lt;VLOOKUP(P$5,NFI,5,0),1,0)*Data_NFI_t[[#This Row],[Blanket]],0)</f>
        <v>762</v>
      </c>
      <c r="AK18" s="710">
        <f>IF(NFI_Expiration=1,IF($A18&lt;VLOOKUP(Q$5,NFI,5,0),1,0)*Data_NFI_t[[#This Row],[Kitchen Set]],0)</f>
        <v>381</v>
      </c>
      <c r="AL18" s="710">
        <f>IF(NFI_Expiration=1,IF($A18&lt;VLOOKUP(R$5,NFI,5,0),1,0)*Data_NFI_t[[#This Row],[Complementary Kit]],0)</f>
        <v>0</v>
      </c>
      <c r="AM18" s="710">
        <f>IF(NFI_Expiration=1,IF($A18&lt;VLOOKUP(S$5,NFI,5,0),1,0)*Data_NFI_t[[#This Row],[Plastic Bucket]],0)</f>
        <v>0</v>
      </c>
      <c r="AN18" s="709">
        <f>IF(NFI_Expiration=1,IF($A18&lt;VLOOKUP(T$5,NFI,5,0),1,0)*Data_NFI_t[[#This Row],[Jerry Can]],0)</f>
        <v>0</v>
      </c>
      <c r="AO18" s="709">
        <f>IF(NFI_Expiration=1,IF($A18&lt;VLOOKUP(U$5,NFI,5,0),1,0)*Data_NFI_t[[#This Row],[Plastic Mat]],0)*IF(Data_NFI_t[[#This Row],[Distribution Date]]&gt;"01-06-2015",1,2.5)</f>
        <v>4762.5</v>
      </c>
      <c r="AP18" s="709">
        <f>IF(NFI_Expiration=1,IF($A18&lt;VLOOKUP(V$5,NFI,5,0),1,0)*Data_NFI_t[[#This Row],[Adult Clothes]],0)</f>
        <v>0</v>
      </c>
      <c r="AQ18" s="709">
        <f>IF(NFI_Expiration=1,IF($A18&lt;VLOOKUP(W$5,NFI,5,0),1,0)*Data_NFI_t[[#This Row],[Children Clothes]],0)</f>
        <v>0</v>
      </c>
      <c r="AR18" s="709">
        <f>IF(NFI_Expiration=1,IF($A18&lt;VLOOKUP(X$5,NFI,5,0),1,0)*Data_NFI_t[[#This Row],[Sewing Kit]],0)</f>
        <v>0</v>
      </c>
      <c r="AS18" s="709">
        <f>IF(NFI_Expiration=1,IF($A18&lt;VLOOKUP(X$5,NFI,5,0),1,0)*Data_NFI_t[[#This Row],[Solar Lantern]],0)</f>
        <v>0</v>
      </c>
      <c r="AT18" s="105" t="str">
        <f ca="1">IFERROR(OFFSET(Camp_List[P_Code],MATCH(Data_NFI_t[[#This Row],[Camp Name]],Camp_List[Camp Name],0)-1,0,1,1),"")</f>
        <v>MMR012CMP016</v>
      </c>
      <c r="AU18" s="412" t="str">
        <f ca="1">IFERROR(OFFSET(Camp_List[Status],MATCH(Data_NFI_t[[#This Row],[Camp Name]],Camp_List[Camp Name],0)-1,0,1,1),"")</f>
        <v>Open</v>
      </c>
      <c r="AV18" s="105"/>
      <c r="AY18" s="747"/>
    </row>
    <row r="19" spans="1:51" s="745" customFormat="1" ht="18.75" customHeight="1" x14ac:dyDescent="0.25">
      <c r="A19" s="948">
        <f>IF(ISBLANK(C19),"",(Report_Date-C19)/30)</f>
        <v>5.2666666666666666</v>
      </c>
      <c r="B19" s="949">
        <f>YEAR(Data_NFI_t[[#This Row],[Distribution Date]])</f>
        <v>2018</v>
      </c>
      <c r="C19" s="973">
        <v>43276</v>
      </c>
      <c r="D19" s="947" t="s">
        <v>273</v>
      </c>
      <c r="E19" s="947" t="s">
        <v>273</v>
      </c>
      <c r="F19" s="947" t="s">
        <v>7</v>
      </c>
      <c r="G19" s="951" t="s">
        <v>17</v>
      </c>
      <c r="H19" s="951" t="s">
        <v>585</v>
      </c>
      <c r="I19" s="205"/>
      <c r="J19" s="952">
        <v>184</v>
      </c>
      <c r="K19" s="952">
        <v>1040</v>
      </c>
      <c r="L19" s="715"/>
      <c r="M19" s="715"/>
      <c r="N19" s="716"/>
      <c r="O19" s="716"/>
      <c r="P19" s="716"/>
      <c r="Q19" s="716"/>
      <c r="R19" s="716"/>
      <c r="S19" s="971"/>
      <c r="T19" s="972"/>
      <c r="U19" s="716"/>
      <c r="V19" s="887"/>
      <c r="W19" s="887"/>
      <c r="X19" s="716"/>
      <c r="Y19" s="716"/>
      <c r="Z19" s="716"/>
      <c r="AA19" s="716"/>
      <c r="AB19" s="716"/>
      <c r="AC19" s="716">
        <v>184</v>
      </c>
      <c r="AD19" s="709">
        <f>IF(NFI_Expiration=1,IF($A19&lt;VLOOKUP(I$5,NFI,5,0),1,0)*Data_NFI_t[[#This Row],[Hygiene Kit]],0)</f>
        <v>0</v>
      </c>
      <c r="AE19" s="709">
        <f>IF(NFI_Expiration=1,IF($A19&lt;VLOOKUP(L$5,NFI,5,0),1,0)*Data_NFI_t[[#This Row],[NFI Core Kit]],0)</f>
        <v>0</v>
      </c>
      <c r="AF19" s="710">
        <f>IF(NFI_Expiration=1,IF($A19&lt;VLOOKUP(M$5,NFI,5,0),1,0)*Data_NFI_t[[#This Row],[Sanitary Kit]],0)</f>
        <v>0</v>
      </c>
      <c r="AG19" s="1056">
        <f>IF(NFI_Expiration=1,IF($A19&lt;VLOOKUP(AC$5,NFI,5,0),1,0)*Data_NFI_t[[#This Row],[Rope]],0)</f>
        <v>184</v>
      </c>
      <c r="AH19" s="710">
        <f>IF(NFI_Expiration=1,IF($A19&lt;VLOOKUP(N$5,NFI,5,0),1,0)*Data_NFI_t[[#This Row],[Mosquito net]],0)</f>
        <v>0</v>
      </c>
      <c r="AI19" s="710">
        <f>IF(NFI_Expiration=1,IF($A19&lt;VLOOKUP(O$5,NFI,5,0),1,0)*Data_NFI_t[[#This Row],[Tarpaulin]],0)</f>
        <v>0</v>
      </c>
      <c r="AJ19" s="710">
        <f>IF(NFI_Expiration=1,IF($A19&lt;VLOOKUP(P$5,NFI,5,0),1,0)*Data_NFI_t[[#This Row],[Blanket]],0)</f>
        <v>0</v>
      </c>
      <c r="AK19" s="710">
        <f>IF(NFI_Expiration=1,IF($A19&lt;VLOOKUP(Q$5,NFI,5,0),1,0)*Data_NFI_t[[#This Row],[Kitchen Set]],0)</f>
        <v>0</v>
      </c>
      <c r="AL19" s="710">
        <f>IF(NFI_Expiration=1,IF($A19&lt;VLOOKUP(R$5,NFI,5,0),1,0)*Data_NFI_t[[#This Row],[Complementary Kit]],0)</f>
        <v>0</v>
      </c>
      <c r="AM19" s="710">
        <f>IF(NFI_Expiration=1,IF($A19&lt;VLOOKUP(S$5,NFI,5,0),1,0)*Data_NFI_t[[#This Row],[Plastic Bucket]],0)</f>
        <v>0</v>
      </c>
      <c r="AN19" s="709">
        <f>IF(NFI_Expiration=1,IF($A19&lt;VLOOKUP(T$5,NFI,5,0),1,0)*Data_NFI_t[[#This Row],[Jerry Can]],0)</f>
        <v>0</v>
      </c>
      <c r="AO19" s="709">
        <f>IF(NFI_Expiration=1,IF($A19&lt;VLOOKUP(U$5,NFI,5,0),1,0)*Data_NFI_t[[#This Row],[Plastic Mat]],0)*IF(Data_NFI_t[[#This Row],[Distribution Date]]&gt;"01-06-2015",1,2.5)</f>
        <v>0</v>
      </c>
      <c r="AP19" s="709">
        <f>IF(NFI_Expiration=1,IF($A19&lt;VLOOKUP(V$5,NFI,5,0),1,0)*Data_NFI_t[[#This Row],[Adult Clothes]],0)</f>
        <v>0</v>
      </c>
      <c r="AQ19" s="709">
        <f>IF(NFI_Expiration=1,IF($A19&lt;VLOOKUP(W$5,NFI,5,0),1,0)*Data_NFI_t[[#This Row],[Children Clothes]],0)</f>
        <v>0</v>
      </c>
      <c r="AR19" s="709">
        <f>IF(NFI_Expiration=1,IF($A19&lt;VLOOKUP(X$5,NFI,5,0),1,0)*Data_NFI_t[[#This Row],[Sewing Kit]],0)</f>
        <v>0</v>
      </c>
      <c r="AS19" s="709">
        <f>IF(NFI_Expiration=1,IF($A19&lt;VLOOKUP(X$5,NFI,5,0),1,0)*Data_NFI_t[[#This Row],[Solar Lantern]],0)</f>
        <v>0</v>
      </c>
      <c r="AT19" s="105" t="str">
        <f ca="1">IFERROR(OFFSET(Camp_List[P_Code],MATCH(Data_NFI_t[[#This Row],[Camp Name]],Camp_List[Camp Name],0)-1,0,1,1),"")</f>
        <v>MMR012CMP098</v>
      </c>
      <c r="AU19" s="412" t="str">
        <f ca="1">IFERROR(OFFSET(Camp_List[Status],MATCH(Data_NFI_t[[#This Row],[Camp Name]],Camp_List[Camp Name],0)-1,0,1,1),"")</f>
        <v>Open</v>
      </c>
      <c r="AV19" s="105"/>
      <c r="AY19" s="747"/>
    </row>
    <row r="20" spans="1:51" s="745" customFormat="1" ht="18.75" customHeight="1" x14ac:dyDescent="0.25">
      <c r="A20" s="948">
        <f t="shared" si="2"/>
        <v>5.2666666666666666</v>
      </c>
      <c r="B20" s="949">
        <f>YEAR(Data_NFI_t[[#This Row],[Distribution Date]])</f>
        <v>2018</v>
      </c>
      <c r="C20" s="973">
        <v>43276</v>
      </c>
      <c r="D20" s="947" t="s">
        <v>270</v>
      </c>
      <c r="E20" s="947" t="s">
        <v>273</v>
      </c>
      <c r="F20" s="947" t="s">
        <v>7</v>
      </c>
      <c r="G20" s="951" t="s">
        <v>17</v>
      </c>
      <c r="H20" s="951" t="s">
        <v>585</v>
      </c>
      <c r="I20" s="205"/>
      <c r="J20" s="952">
        <v>184</v>
      </c>
      <c r="K20" s="952">
        <v>1040</v>
      </c>
      <c r="L20" s="715"/>
      <c r="M20" s="715"/>
      <c r="N20" s="716"/>
      <c r="O20" s="716">
        <v>368</v>
      </c>
      <c r="P20" s="716"/>
      <c r="Q20" s="716"/>
      <c r="R20" s="716"/>
      <c r="S20" s="971"/>
      <c r="T20" s="972"/>
      <c r="U20" s="716"/>
      <c r="V20" s="887"/>
      <c r="W20" s="887"/>
      <c r="X20" s="716"/>
      <c r="Y20" s="716"/>
      <c r="Z20" s="716"/>
      <c r="AA20" s="716"/>
      <c r="AB20" s="716"/>
      <c r="AC20" s="716"/>
      <c r="AD20" s="709">
        <f>IF(NFI_Expiration=1,IF($A20&lt;VLOOKUP(I$5,NFI,5,0),1,0)*Data_NFI_t[[#This Row],[Hygiene Kit]],0)</f>
        <v>0</v>
      </c>
      <c r="AE20" s="709">
        <f>IF(NFI_Expiration=1,IF($A20&lt;VLOOKUP(L$5,NFI,5,0),1,0)*Data_NFI_t[[#This Row],[NFI Core Kit]],0)</f>
        <v>0</v>
      </c>
      <c r="AF20" s="710">
        <f>IF(NFI_Expiration=1,IF($A20&lt;VLOOKUP(M$5,NFI,5,0),1,0)*Data_NFI_t[[#This Row],[Sanitary Kit]],0)</f>
        <v>0</v>
      </c>
      <c r="AG20" s="1055">
        <f>IF(NFI_Expiration=1,IF($A20&lt;VLOOKUP(AC$5,NFI,5,0),1,0)*Data_NFI_t[[#This Row],[Rope]],0)</f>
        <v>0</v>
      </c>
      <c r="AH20" s="710">
        <f>IF(NFI_Expiration=1,IF($A20&lt;VLOOKUP(N$5,NFI,5,0),1,0)*Data_NFI_t[[#This Row],[Mosquito net]],0)</f>
        <v>0</v>
      </c>
      <c r="AI20" s="710">
        <f>IF(NFI_Expiration=1,IF($A20&lt;VLOOKUP(O$5,NFI,5,0),1,0)*Data_NFI_t[[#This Row],[Tarpaulin]],0)</f>
        <v>368</v>
      </c>
      <c r="AJ20" s="710">
        <f>IF(NFI_Expiration=1,IF($A20&lt;VLOOKUP(P$5,NFI,5,0),1,0)*Data_NFI_t[[#This Row],[Blanket]],0)</f>
        <v>0</v>
      </c>
      <c r="AK20" s="710">
        <f>IF(NFI_Expiration=1,IF($A20&lt;VLOOKUP(Q$5,NFI,5,0),1,0)*Data_NFI_t[[#This Row],[Kitchen Set]],0)</f>
        <v>0</v>
      </c>
      <c r="AL20" s="710">
        <f>IF(NFI_Expiration=1,IF($A20&lt;VLOOKUP(R$5,NFI,5,0),1,0)*Data_NFI_t[[#This Row],[Complementary Kit]],0)</f>
        <v>0</v>
      </c>
      <c r="AM20" s="710">
        <f>IF(NFI_Expiration=1,IF($A20&lt;VLOOKUP(S$5,NFI,5,0),1,0)*Data_NFI_t[[#This Row],[Plastic Bucket]],0)</f>
        <v>0</v>
      </c>
      <c r="AN20" s="709">
        <f>IF(NFI_Expiration=1,IF($A20&lt;VLOOKUP(T$5,NFI,5,0),1,0)*Data_NFI_t[[#This Row],[Jerry Can]],0)</f>
        <v>0</v>
      </c>
      <c r="AO20" s="709">
        <f>IF(NFI_Expiration=1,IF($A20&lt;VLOOKUP(U$5,NFI,5,0),1,0)*Data_NFI_t[[#This Row],[Plastic Mat]],0)*IF(Data_NFI_t[[#This Row],[Distribution Date]]&gt;"01-06-2015",1,2.5)</f>
        <v>0</v>
      </c>
      <c r="AP20" s="709">
        <f>IF(NFI_Expiration=1,IF($A20&lt;VLOOKUP(V$5,NFI,5,0),1,0)*Data_NFI_t[[#This Row],[Adult Clothes]],0)</f>
        <v>0</v>
      </c>
      <c r="AQ20" s="709">
        <f>IF(NFI_Expiration=1,IF($A20&lt;VLOOKUP(W$5,NFI,5,0),1,0)*Data_NFI_t[[#This Row],[Children Clothes]],0)</f>
        <v>0</v>
      </c>
      <c r="AR20" s="709">
        <f>IF(NFI_Expiration=1,IF($A20&lt;VLOOKUP(X$5,NFI,5,0),1,0)*Data_NFI_t[[#This Row],[Sewing Kit]],0)</f>
        <v>0</v>
      </c>
      <c r="AS20" s="709">
        <f>IF(NFI_Expiration=1,IF($A20&lt;VLOOKUP(X$5,NFI,5,0),1,0)*Data_NFI_t[[#This Row],[Solar Lantern]],0)</f>
        <v>0</v>
      </c>
      <c r="AT20" s="105" t="str">
        <f ca="1">IFERROR(OFFSET(Camp_List[P_Code],MATCH(Data_NFI_t[[#This Row],[Camp Name]],Camp_List[Camp Name],0)-1,0,1,1),"")</f>
        <v>MMR012CMP098</v>
      </c>
      <c r="AU20" s="412" t="str">
        <f ca="1">IFERROR(OFFSET(Camp_List[Status],MATCH(Data_NFI_t[[#This Row],[Camp Name]],Camp_List[Camp Name],0)-1,0,1,1),"")</f>
        <v>Open</v>
      </c>
      <c r="AV20" s="105"/>
      <c r="AY20" s="747"/>
    </row>
    <row r="21" spans="1:51" s="745" customFormat="1" ht="18.75" customHeight="1" x14ac:dyDescent="0.25">
      <c r="A21" s="948">
        <f t="shared" si="2"/>
        <v>5.4</v>
      </c>
      <c r="B21" s="949">
        <f>YEAR(Data_NFI_t[[#This Row],[Distribution Date]])</f>
        <v>2018</v>
      </c>
      <c r="C21" s="973">
        <v>43272</v>
      </c>
      <c r="D21" s="947" t="s">
        <v>575</v>
      </c>
      <c r="E21" s="947" t="s">
        <v>575</v>
      </c>
      <c r="F21" s="947" t="s">
        <v>7</v>
      </c>
      <c r="G21" s="951" t="s">
        <v>17</v>
      </c>
      <c r="H21" s="951" t="s">
        <v>62</v>
      </c>
      <c r="I21" s="205"/>
      <c r="J21" s="952">
        <v>10</v>
      </c>
      <c r="K21" s="952">
        <v>50</v>
      </c>
      <c r="L21" s="715"/>
      <c r="M21" s="715"/>
      <c r="N21" s="716">
        <v>10</v>
      </c>
      <c r="O21" s="716">
        <v>30</v>
      </c>
      <c r="P21" s="716"/>
      <c r="Q21" s="716"/>
      <c r="R21" s="716"/>
      <c r="S21" s="971"/>
      <c r="T21" s="972"/>
      <c r="U21" s="716">
        <v>10</v>
      </c>
      <c r="V21" s="887"/>
      <c r="W21" s="887"/>
      <c r="X21" s="716"/>
      <c r="Y21" s="716">
        <v>10</v>
      </c>
      <c r="Z21" s="716"/>
      <c r="AA21" s="716"/>
      <c r="AB21" s="716"/>
      <c r="AC21" s="716"/>
      <c r="AD21" s="709">
        <f>IF(NFI_Expiration=1,IF($A21&lt;VLOOKUP(I$5,NFI,5,0),1,0)*Data_NFI_t[[#This Row],[Hygiene Kit]],0)</f>
        <v>0</v>
      </c>
      <c r="AE21" s="709">
        <f>IF(NFI_Expiration=1,IF($A21&lt;VLOOKUP(L$5,NFI,5,0),1,0)*Data_NFI_t[[#This Row],[NFI Core Kit]],0)</f>
        <v>0</v>
      </c>
      <c r="AF21" s="710">
        <f>IF(NFI_Expiration=1,IF($A21&lt;VLOOKUP(M$5,NFI,5,0),1,0)*Data_NFI_t[[#This Row],[Sanitary Kit]],0)</f>
        <v>0</v>
      </c>
      <c r="AG21" s="1055">
        <f>IF(NFI_Expiration=1,IF($A21&lt;VLOOKUP(AC$5,NFI,5,0),1,0)*Data_NFI_t[[#This Row],[Rope]],0)</f>
        <v>0</v>
      </c>
      <c r="AH21" s="710">
        <f>IF(NFI_Expiration=1,IF($A21&lt;VLOOKUP(N$5,NFI,5,0),1,0)*Data_NFI_t[[#This Row],[Mosquito net]],0)</f>
        <v>10</v>
      </c>
      <c r="AI21" s="710">
        <f>IF(NFI_Expiration=1,IF($A21&lt;VLOOKUP(O$5,NFI,5,0),1,0)*Data_NFI_t[[#This Row],[Tarpaulin]],0)</f>
        <v>30</v>
      </c>
      <c r="AJ21" s="710">
        <f>IF(NFI_Expiration=1,IF($A21&lt;VLOOKUP(P$5,NFI,5,0),1,0)*Data_NFI_t[[#This Row],[Blanket]],0)</f>
        <v>0</v>
      </c>
      <c r="AK21" s="710">
        <f>IF(NFI_Expiration=1,IF($A21&lt;VLOOKUP(Q$5,NFI,5,0),1,0)*Data_NFI_t[[#This Row],[Kitchen Set]],0)</f>
        <v>0</v>
      </c>
      <c r="AL21" s="710">
        <f>IF(NFI_Expiration=1,IF($A21&lt;VLOOKUP(R$5,NFI,5,0),1,0)*Data_NFI_t[[#This Row],[Complementary Kit]],0)</f>
        <v>0</v>
      </c>
      <c r="AM21" s="710">
        <f>IF(NFI_Expiration=1,IF($A21&lt;VLOOKUP(S$5,NFI,5,0),1,0)*Data_NFI_t[[#This Row],[Plastic Bucket]],0)</f>
        <v>0</v>
      </c>
      <c r="AN21" s="709">
        <f>IF(NFI_Expiration=1,IF($A21&lt;VLOOKUP(T$5,NFI,5,0),1,0)*Data_NFI_t[[#This Row],[Jerry Can]],0)</f>
        <v>0</v>
      </c>
      <c r="AO21" s="709">
        <f>IF(NFI_Expiration=1,IF($A21&lt;VLOOKUP(U$5,NFI,5,0),1,0)*Data_NFI_t[[#This Row],[Plastic Mat]],0)</f>
        <v>10</v>
      </c>
      <c r="AP21" s="709">
        <f>IF(NFI_Expiration=1,IF($A21&lt;VLOOKUP(V$5,NFI,5,0),1,0)*Data_NFI_t[[#This Row],[Adult Clothes]],0)</f>
        <v>0</v>
      </c>
      <c r="AQ21" s="709">
        <f>IF(NFI_Expiration=1,IF($A21&lt;VLOOKUP(W$5,NFI,5,0),1,0)*Data_NFI_t[[#This Row],[Children Clothes]],0)</f>
        <v>0</v>
      </c>
      <c r="AR21" s="709">
        <f>IF(NFI_Expiration=1,IF($A21&lt;VLOOKUP(X$5,NFI,5,0),1,0)*Data_NFI_t[[#This Row],[Sewing Kit]],0)</f>
        <v>0</v>
      </c>
      <c r="AS21" s="709">
        <f>IF(NFI_Expiration=1,IF($A21&lt;VLOOKUP(X$5,NFI,5,0),1,0)*Data_NFI_t[[#This Row],[Solar Lantern]],0)</f>
        <v>10</v>
      </c>
      <c r="AT21" s="105" t="str">
        <f ca="1">IFERROR(OFFSET(Camp_List[P_Code],MATCH(Data_NFI_t[[#This Row],[Camp Name]],Camp_List[Camp Name],0)-1,0,1,1),"")</f>
        <v/>
      </c>
      <c r="AU21" s="412" t="str">
        <f ca="1">IFERROR(OFFSET(Camp_List[Status],MATCH(Data_NFI_t[[#This Row],[Camp Name]],Camp_List[Camp Name],0)-1,0,1,1),"")</f>
        <v/>
      </c>
      <c r="AV21" s="756" t="s">
        <v>1145</v>
      </c>
      <c r="AY21" s="747"/>
    </row>
    <row r="22" spans="1:51" s="745" customFormat="1" ht="18.75" customHeight="1" x14ac:dyDescent="0.25">
      <c r="A22" s="948">
        <f t="shared" si="2"/>
        <v>5.4</v>
      </c>
      <c r="B22" s="949">
        <f>YEAR(Data_NFI_t[[#This Row],[Distribution Date]])</f>
        <v>2018</v>
      </c>
      <c r="C22" s="973">
        <v>43272</v>
      </c>
      <c r="D22" s="947" t="s">
        <v>575</v>
      </c>
      <c r="E22" s="947" t="s">
        <v>575</v>
      </c>
      <c r="F22" s="947" t="s">
        <v>7</v>
      </c>
      <c r="G22" s="951" t="s">
        <v>17</v>
      </c>
      <c r="H22" s="951" t="s">
        <v>59</v>
      </c>
      <c r="I22" s="205"/>
      <c r="J22" s="952">
        <v>8</v>
      </c>
      <c r="K22" s="952">
        <v>40</v>
      </c>
      <c r="L22" s="715"/>
      <c r="M22" s="715"/>
      <c r="N22" s="716">
        <v>8</v>
      </c>
      <c r="O22" s="716"/>
      <c r="P22" s="716"/>
      <c r="Q22" s="716"/>
      <c r="R22" s="716"/>
      <c r="S22" s="971"/>
      <c r="T22" s="972"/>
      <c r="U22" s="716">
        <v>8</v>
      </c>
      <c r="V22" s="887"/>
      <c r="W22" s="887"/>
      <c r="X22" s="716"/>
      <c r="Y22" s="716">
        <v>8</v>
      </c>
      <c r="Z22" s="716"/>
      <c r="AA22" s="716"/>
      <c r="AB22" s="716"/>
      <c r="AC22" s="716"/>
      <c r="AD22" s="709">
        <f>IF(NFI_Expiration=1,IF($A22&lt;VLOOKUP(I$5,NFI,5,0),1,0)*Data_NFI_t[[#This Row],[Hygiene Kit]],0)</f>
        <v>0</v>
      </c>
      <c r="AE22" s="709">
        <f>IF(NFI_Expiration=1,IF($A22&lt;VLOOKUP(L$5,NFI,5,0),1,0)*Data_NFI_t[[#This Row],[NFI Core Kit]],0)</f>
        <v>0</v>
      </c>
      <c r="AF22" s="710">
        <f>IF(NFI_Expiration=1,IF($A22&lt;VLOOKUP(M$5,NFI,5,0),1,0)*Data_NFI_t[[#This Row],[Sanitary Kit]],0)</f>
        <v>0</v>
      </c>
      <c r="AG22" s="1055">
        <f>IF(NFI_Expiration=1,IF($A22&lt;VLOOKUP(AC$5,NFI,5,0),1,0)*Data_NFI_t[[#This Row],[Rope]],0)</f>
        <v>0</v>
      </c>
      <c r="AH22" s="710">
        <f>IF(NFI_Expiration=1,IF($A22&lt;VLOOKUP(N$5,NFI,5,0),1,0)*Data_NFI_t[[#This Row],[Mosquito net]],0)</f>
        <v>8</v>
      </c>
      <c r="AI22" s="710">
        <f>IF(NFI_Expiration=1,IF($A22&lt;VLOOKUP(O$5,NFI,5,0),1,0)*Data_NFI_t[[#This Row],[Tarpaulin]],0)</f>
        <v>0</v>
      </c>
      <c r="AJ22" s="710">
        <f>IF(NFI_Expiration=1,IF($A22&lt;VLOOKUP(P$5,NFI,5,0),1,0)*Data_NFI_t[[#This Row],[Blanket]],0)</f>
        <v>0</v>
      </c>
      <c r="AK22" s="710">
        <f>IF(NFI_Expiration=1,IF($A22&lt;VLOOKUP(Q$5,NFI,5,0),1,0)*Data_NFI_t[[#This Row],[Kitchen Set]],0)</f>
        <v>0</v>
      </c>
      <c r="AL22" s="710">
        <f>IF(NFI_Expiration=1,IF($A22&lt;VLOOKUP(R$5,NFI,5,0),1,0)*Data_NFI_t[[#This Row],[Complementary Kit]],0)</f>
        <v>0</v>
      </c>
      <c r="AM22" s="710">
        <f>IF(NFI_Expiration=1,IF($A22&lt;VLOOKUP(S$5,NFI,5,0),1,0)*Data_NFI_t[[#This Row],[Plastic Bucket]],0)</f>
        <v>0</v>
      </c>
      <c r="AN22" s="709">
        <f>IF(NFI_Expiration=1,IF($A22&lt;VLOOKUP(T$5,NFI,5,0),1,0)*Data_NFI_t[[#This Row],[Jerry Can]],0)</f>
        <v>0</v>
      </c>
      <c r="AO22" s="709">
        <f>IF(NFI_Expiration=1,IF($A22&lt;VLOOKUP(U$5,NFI,5,0),1,0)*Data_NFI_t[[#This Row],[Plastic Mat]],0)</f>
        <v>8</v>
      </c>
      <c r="AP22" s="709">
        <f>IF(NFI_Expiration=1,IF($A22&lt;VLOOKUP(V$5,NFI,5,0),1,0)*Data_NFI_t[[#This Row],[Adult Clothes]],0)</f>
        <v>0</v>
      </c>
      <c r="AQ22" s="709">
        <f>IF(NFI_Expiration=1,IF($A22&lt;VLOOKUP(W$5,NFI,5,0),1,0)*Data_NFI_t[[#This Row],[Children Clothes]],0)</f>
        <v>0</v>
      </c>
      <c r="AR22" s="709">
        <f>IF(NFI_Expiration=1,IF($A22&lt;VLOOKUP(X$5,NFI,5,0),1,0)*Data_NFI_t[[#This Row],[Sewing Kit]],0)</f>
        <v>0</v>
      </c>
      <c r="AS22" s="709">
        <f>IF(NFI_Expiration=1,IF($A22&lt;VLOOKUP(X$5,NFI,5,0),1,0)*Data_NFI_t[[#This Row],[Solar Lantern]],0)</f>
        <v>8</v>
      </c>
      <c r="AT22" s="105" t="str">
        <f ca="1">IFERROR(OFFSET(Camp_List[P_Code],MATCH(Data_NFI_t[[#This Row],[Camp Name]],Camp_List[Camp Name],0)-1,0,1,1),"")</f>
        <v>MMR012CMP039</v>
      </c>
      <c r="AU22" s="412" t="str">
        <f ca="1">IFERROR(OFFSET(Camp_List[Status],MATCH(Data_NFI_t[[#This Row],[Camp Name]],Camp_List[Camp Name],0)-1,0,1,1),"")</f>
        <v>Open</v>
      </c>
      <c r="AV22" s="756" t="s">
        <v>1145</v>
      </c>
      <c r="AY22" s="747"/>
    </row>
    <row r="23" spans="1:51" s="745" customFormat="1" ht="18.75" customHeight="1" x14ac:dyDescent="0.25">
      <c r="A23" s="948">
        <f t="shared" si="2"/>
        <v>5.3666666666666663</v>
      </c>
      <c r="B23" s="949">
        <f>YEAR(Data_NFI_t[[#This Row],[Distribution Date]])</f>
        <v>2018</v>
      </c>
      <c r="C23" s="973">
        <v>43273</v>
      </c>
      <c r="D23" s="947" t="s">
        <v>575</v>
      </c>
      <c r="E23" s="947" t="s">
        <v>575</v>
      </c>
      <c r="F23" s="947" t="s">
        <v>7</v>
      </c>
      <c r="G23" s="951" t="s">
        <v>13</v>
      </c>
      <c r="H23" s="951" t="s">
        <v>982</v>
      </c>
      <c r="I23" s="205"/>
      <c r="J23" s="952">
        <v>17</v>
      </c>
      <c r="K23" s="952">
        <v>85</v>
      </c>
      <c r="L23" s="715"/>
      <c r="M23" s="715"/>
      <c r="N23" s="716">
        <v>17</v>
      </c>
      <c r="O23" s="716"/>
      <c r="P23" s="716"/>
      <c r="Q23" s="716"/>
      <c r="R23" s="716"/>
      <c r="S23" s="971"/>
      <c r="T23" s="972"/>
      <c r="U23" s="716">
        <v>17</v>
      </c>
      <c r="V23" s="887"/>
      <c r="W23" s="887"/>
      <c r="X23" s="716"/>
      <c r="Y23" s="716">
        <v>17</v>
      </c>
      <c r="Z23" s="716"/>
      <c r="AA23" s="716"/>
      <c r="AB23" s="716"/>
      <c r="AC23" s="716"/>
      <c r="AD23" s="709">
        <f>IF(NFI_Expiration=1,IF($A23&lt;VLOOKUP(I$5,NFI,5,0),1,0)*Data_NFI_t[[#This Row],[Hygiene Kit]],0)</f>
        <v>0</v>
      </c>
      <c r="AE23" s="709">
        <f>IF(NFI_Expiration=1,IF($A23&lt;VLOOKUP(L$5,NFI,5,0),1,0)*Data_NFI_t[[#This Row],[NFI Core Kit]],0)</f>
        <v>0</v>
      </c>
      <c r="AF23" s="710">
        <f>IF(NFI_Expiration=1,IF($A23&lt;VLOOKUP(M$5,NFI,5,0),1,0)*Data_NFI_t[[#This Row],[Sanitary Kit]],0)</f>
        <v>0</v>
      </c>
      <c r="AG23" s="1055">
        <f>IF(NFI_Expiration=1,IF($A23&lt;VLOOKUP(AC$5,NFI,5,0),1,0)*Data_NFI_t[[#This Row],[Rope]],0)</f>
        <v>0</v>
      </c>
      <c r="AH23" s="710">
        <f>IF(NFI_Expiration=1,IF($A23&lt;VLOOKUP(N$5,NFI,5,0),1,0)*Data_NFI_t[[#This Row],[Mosquito net]],0)</f>
        <v>17</v>
      </c>
      <c r="AI23" s="710">
        <f>IF(NFI_Expiration=1,IF($A23&lt;VLOOKUP(O$5,NFI,5,0),1,0)*Data_NFI_t[[#This Row],[Tarpaulin]],0)</f>
        <v>0</v>
      </c>
      <c r="AJ23" s="710">
        <f>IF(NFI_Expiration=1,IF($A23&lt;VLOOKUP(P$5,NFI,5,0),1,0)*Data_NFI_t[[#This Row],[Blanket]],0)</f>
        <v>0</v>
      </c>
      <c r="AK23" s="710">
        <f>IF(NFI_Expiration=1,IF($A23&lt;VLOOKUP(Q$5,NFI,5,0),1,0)*Data_NFI_t[[#This Row],[Kitchen Set]],0)</f>
        <v>0</v>
      </c>
      <c r="AL23" s="710">
        <f>IF(NFI_Expiration=1,IF($A23&lt;VLOOKUP(R$5,NFI,5,0),1,0)*Data_NFI_t[[#This Row],[Complementary Kit]],0)</f>
        <v>0</v>
      </c>
      <c r="AM23" s="710">
        <f>IF(NFI_Expiration=1,IF($A23&lt;VLOOKUP(S$5,NFI,5,0),1,0)*Data_NFI_t[[#This Row],[Plastic Bucket]],0)</f>
        <v>0</v>
      </c>
      <c r="AN23" s="709">
        <f>IF(NFI_Expiration=1,IF($A23&lt;VLOOKUP(T$5,NFI,5,0),1,0)*Data_NFI_t[[#This Row],[Jerry Can]],0)</f>
        <v>0</v>
      </c>
      <c r="AO23" s="709">
        <f>IF(NFI_Expiration=1,IF($A23&lt;VLOOKUP(U$5,NFI,5,0),1,0)*Data_NFI_t[[#This Row],[Plastic Mat]],0)</f>
        <v>17</v>
      </c>
      <c r="AP23" s="709">
        <f>IF(NFI_Expiration=1,IF($A23&lt;VLOOKUP(V$5,NFI,5,0),1,0)*Data_NFI_t[[#This Row],[Adult Clothes]],0)</f>
        <v>0</v>
      </c>
      <c r="AQ23" s="709">
        <f>IF(NFI_Expiration=1,IF($A23&lt;VLOOKUP(W$5,NFI,5,0),1,0)*Data_NFI_t[[#This Row],[Children Clothes]],0)</f>
        <v>0</v>
      </c>
      <c r="AR23" s="709">
        <f>IF(NFI_Expiration=1,IF($A23&lt;VLOOKUP(X$5,NFI,5,0),1,0)*Data_NFI_t[[#This Row],[Sewing Kit]],0)</f>
        <v>0</v>
      </c>
      <c r="AS23" s="709">
        <f>IF(NFI_Expiration=1,IF($A23&lt;VLOOKUP(X$5,NFI,5,0),1,0)*Data_NFI_t[[#This Row],[Solar Lantern]],0)</f>
        <v>17</v>
      </c>
      <c r="AT23" s="754" t="str">
        <f ca="1">IFERROR(OFFSET(Camp_List[P_Code],MATCH(Data_NFI_t[[#This Row],[Camp Name]],Camp_List[Camp Name],0)-1,0,1,1),"")</f>
        <v>MMR012CMP017</v>
      </c>
      <c r="AU23" s="755" t="str">
        <f ca="1">IFERROR(OFFSET(Camp_List[Status],MATCH(Data_NFI_t[[#This Row],[Camp Name]],Camp_List[Camp Name],0)-1,0,1,1),"")</f>
        <v>Open</v>
      </c>
      <c r="AV23" s="756" t="s">
        <v>1145</v>
      </c>
      <c r="AY23" s="747"/>
    </row>
    <row r="24" spans="1:51" s="745" customFormat="1" ht="18.75" customHeight="1" x14ac:dyDescent="0.25">
      <c r="A24" s="948">
        <f t="shared" si="2"/>
        <v>5.4</v>
      </c>
      <c r="B24" s="949">
        <f>YEAR(Data_NFI_t[[#This Row],[Distribution Date]])</f>
        <v>2018</v>
      </c>
      <c r="C24" s="973">
        <v>43272</v>
      </c>
      <c r="D24" s="947" t="s">
        <v>575</v>
      </c>
      <c r="E24" s="947" t="s">
        <v>575</v>
      </c>
      <c r="F24" s="947" t="s">
        <v>7</v>
      </c>
      <c r="G24" s="951" t="s">
        <v>13</v>
      </c>
      <c r="H24" s="951" t="s">
        <v>981</v>
      </c>
      <c r="I24" s="205"/>
      <c r="J24" s="952">
        <v>18</v>
      </c>
      <c r="K24" s="952">
        <v>90</v>
      </c>
      <c r="L24" s="715"/>
      <c r="M24" s="715"/>
      <c r="N24" s="716">
        <v>18</v>
      </c>
      <c r="O24" s="716"/>
      <c r="P24" s="716"/>
      <c r="Q24" s="716"/>
      <c r="R24" s="716"/>
      <c r="S24" s="971"/>
      <c r="T24" s="972"/>
      <c r="U24" s="716">
        <v>18</v>
      </c>
      <c r="V24" s="887"/>
      <c r="W24" s="887"/>
      <c r="X24" s="716"/>
      <c r="Y24" s="716">
        <v>18</v>
      </c>
      <c r="Z24" s="716"/>
      <c r="AA24" s="716"/>
      <c r="AB24" s="716"/>
      <c r="AC24" s="716"/>
      <c r="AD24" s="709">
        <f>IF(NFI_Expiration=1,IF($A24&lt;VLOOKUP(I$5,NFI,5,0),1,0)*Data_NFI_t[[#This Row],[Hygiene Kit]],0)</f>
        <v>0</v>
      </c>
      <c r="AE24" s="709">
        <f>IF(NFI_Expiration=1,IF($A24&lt;VLOOKUP(L$5,NFI,5,0),1,0)*Data_NFI_t[[#This Row],[NFI Core Kit]],0)</f>
        <v>0</v>
      </c>
      <c r="AF24" s="710">
        <f>IF(NFI_Expiration=1,IF($A24&lt;VLOOKUP(M$5,NFI,5,0),1,0)*Data_NFI_t[[#This Row],[Sanitary Kit]],0)</f>
        <v>0</v>
      </c>
      <c r="AG24" s="1055">
        <f>IF(NFI_Expiration=1,IF($A24&lt;VLOOKUP(AC$5,NFI,5,0),1,0)*Data_NFI_t[[#This Row],[Rope]],0)</f>
        <v>0</v>
      </c>
      <c r="AH24" s="710">
        <f>IF(NFI_Expiration=1,IF($A24&lt;VLOOKUP(N$5,NFI,5,0),1,0)*Data_NFI_t[[#This Row],[Mosquito net]],0)</f>
        <v>18</v>
      </c>
      <c r="AI24" s="710">
        <f>IF(NFI_Expiration=1,IF($A24&lt;VLOOKUP(O$5,NFI,5,0),1,0)*Data_NFI_t[[#This Row],[Tarpaulin]],0)</f>
        <v>0</v>
      </c>
      <c r="AJ24" s="710">
        <f>IF(NFI_Expiration=1,IF($A24&lt;VLOOKUP(P$5,NFI,5,0),1,0)*Data_NFI_t[[#This Row],[Blanket]],0)</f>
        <v>0</v>
      </c>
      <c r="AK24" s="710">
        <f>IF(NFI_Expiration=1,IF($A24&lt;VLOOKUP(Q$5,NFI,5,0),1,0)*Data_NFI_t[[#This Row],[Kitchen Set]],0)</f>
        <v>0</v>
      </c>
      <c r="AL24" s="710">
        <f>IF(NFI_Expiration=1,IF($A24&lt;VLOOKUP(R$5,NFI,5,0),1,0)*Data_NFI_t[[#This Row],[Complementary Kit]],0)</f>
        <v>0</v>
      </c>
      <c r="AM24" s="710">
        <f>IF(NFI_Expiration=1,IF($A24&lt;VLOOKUP(S$5,NFI,5,0),1,0)*Data_NFI_t[[#This Row],[Plastic Bucket]],0)</f>
        <v>0</v>
      </c>
      <c r="AN24" s="709">
        <f>IF(NFI_Expiration=1,IF($A24&lt;VLOOKUP(T$5,NFI,5,0),1,0)*Data_NFI_t[[#This Row],[Jerry Can]],0)</f>
        <v>0</v>
      </c>
      <c r="AO24" s="709">
        <f>IF(NFI_Expiration=1,IF($A24&lt;VLOOKUP(U$5,NFI,5,0),1,0)*Data_NFI_t[[#This Row],[Plastic Mat]],0)</f>
        <v>18</v>
      </c>
      <c r="AP24" s="709">
        <f>IF(NFI_Expiration=1,IF($A24&lt;VLOOKUP(V$5,NFI,5,0),1,0)*Data_NFI_t[[#This Row],[Adult Clothes]],0)</f>
        <v>0</v>
      </c>
      <c r="AQ24" s="709">
        <f>IF(NFI_Expiration=1,IF($A24&lt;VLOOKUP(W$5,NFI,5,0),1,0)*Data_NFI_t[[#This Row],[Children Clothes]],0)</f>
        <v>0</v>
      </c>
      <c r="AR24" s="709">
        <f>IF(NFI_Expiration=1,IF($A24&lt;VLOOKUP(X$5,NFI,5,0),1,0)*Data_NFI_t[[#This Row],[Sewing Kit]],0)</f>
        <v>0</v>
      </c>
      <c r="AS24" s="709">
        <f>IF(NFI_Expiration=1,IF($A24&lt;VLOOKUP(X$5,NFI,5,0),1,0)*Data_NFI_t[[#This Row],[Solar Lantern]],0)</f>
        <v>18</v>
      </c>
      <c r="AT24" s="754" t="str">
        <f ca="1">IFERROR(OFFSET(Camp_List[P_Code],MATCH(Data_NFI_t[[#This Row],[Camp Name]],Camp_List[Camp Name],0)-1,0,1,1),"")</f>
        <v>MMR012CMP017</v>
      </c>
      <c r="AU24" s="755" t="str">
        <f ca="1">IFERROR(OFFSET(Camp_List[Status],MATCH(Data_NFI_t[[#This Row],[Camp Name]],Camp_List[Camp Name],0)-1,0,1,1),"")</f>
        <v>Open</v>
      </c>
      <c r="AV24" s="756"/>
      <c r="AY24" s="747"/>
    </row>
    <row r="25" spans="1:51" s="745" customFormat="1" ht="18.75" customHeight="1" x14ac:dyDescent="0.25">
      <c r="A25" s="948">
        <f t="shared" si="2"/>
        <v>5.4</v>
      </c>
      <c r="B25" s="949">
        <f>YEAR(Data_NFI_t[[#This Row],[Distribution Date]])</f>
        <v>2018</v>
      </c>
      <c r="C25" s="973">
        <v>43272</v>
      </c>
      <c r="D25" s="947" t="s">
        <v>575</v>
      </c>
      <c r="E25" s="947" t="s">
        <v>575</v>
      </c>
      <c r="F25" s="947" t="s">
        <v>7</v>
      </c>
      <c r="G25" s="951" t="s">
        <v>13</v>
      </c>
      <c r="H25" s="951" t="s">
        <v>38</v>
      </c>
      <c r="I25" s="205"/>
      <c r="J25" s="952">
        <v>7</v>
      </c>
      <c r="K25" s="952">
        <v>35</v>
      </c>
      <c r="L25" s="715"/>
      <c r="M25" s="715"/>
      <c r="N25" s="716">
        <v>7</v>
      </c>
      <c r="O25" s="716"/>
      <c r="P25" s="716"/>
      <c r="Q25" s="716"/>
      <c r="R25" s="716"/>
      <c r="S25" s="971"/>
      <c r="T25" s="972"/>
      <c r="U25" s="716">
        <v>7</v>
      </c>
      <c r="V25" s="887"/>
      <c r="W25" s="887"/>
      <c r="X25" s="716"/>
      <c r="Y25" s="716">
        <v>1</v>
      </c>
      <c r="Z25" s="716"/>
      <c r="AA25" s="716"/>
      <c r="AB25" s="716"/>
      <c r="AC25" s="716"/>
      <c r="AD25" s="709">
        <f>IF(NFI_Expiration=1,IF($A25&lt;VLOOKUP(I$5,NFI,5,0),1,0)*Data_NFI_t[[#This Row],[Hygiene Kit]],0)</f>
        <v>0</v>
      </c>
      <c r="AE25" s="709">
        <f>IF(NFI_Expiration=1,IF($A25&lt;VLOOKUP(L$5,NFI,5,0),1,0)*Data_NFI_t[[#This Row],[NFI Core Kit]],0)</f>
        <v>0</v>
      </c>
      <c r="AF25" s="710">
        <f>IF(NFI_Expiration=1,IF($A25&lt;VLOOKUP(M$5,NFI,5,0),1,0)*Data_NFI_t[[#This Row],[Sanitary Kit]],0)</f>
        <v>0</v>
      </c>
      <c r="AG25" s="1055">
        <f>IF(NFI_Expiration=1,IF($A25&lt;VLOOKUP(AC$5,NFI,5,0),1,0)*Data_NFI_t[[#This Row],[Rope]],0)</f>
        <v>0</v>
      </c>
      <c r="AH25" s="710">
        <f>IF(NFI_Expiration=1,IF($A25&lt;VLOOKUP(N$5,NFI,5,0),1,0)*Data_NFI_t[[#This Row],[Mosquito net]],0)</f>
        <v>7</v>
      </c>
      <c r="AI25" s="710">
        <f>IF(NFI_Expiration=1,IF($A25&lt;VLOOKUP(O$5,NFI,5,0),1,0)*Data_NFI_t[[#This Row],[Tarpaulin]],0)</f>
        <v>0</v>
      </c>
      <c r="AJ25" s="710">
        <f>IF(NFI_Expiration=1,IF($A25&lt;VLOOKUP(P$5,NFI,5,0),1,0)*Data_NFI_t[[#This Row],[Blanket]],0)</f>
        <v>0</v>
      </c>
      <c r="AK25" s="710">
        <f>IF(NFI_Expiration=1,IF($A25&lt;VLOOKUP(Q$5,NFI,5,0),1,0)*Data_NFI_t[[#This Row],[Kitchen Set]],0)</f>
        <v>0</v>
      </c>
      <c r="AL25" s="710">
        <f>IF(NFI_Expiration=1,IF($A25&lt;VLOOKUP(R$5,NFI,5,0),1,0)*Data_NFI_t[[#This Row],[Complementary Kit]],0)</f>
        <v>0</v>
      </c>
      <c r="AM25" s="710">
        <f>IF(NFI_Expiration=1,IF($A25&lt;VLOOKUP(S$5,NFI,5,0),1,0)*Data_NFI_t[[#This Row],[Plastic Bucket]],0)</f>
        <v>0</v>
      </c>
      <c r="AN25" s="709">
        <f>IF(NFI_Expiration=1,IF($A25&lt;VLOOKUP(T$5,NFI,5,0),1,0)*Data_NFI_t[[#This Row],[Jerry Can]],0)</f>
        <v>0</v>
      </c>
      <c r="AO25" s="709">
        <f>IF(NFI_Expiration=1,IF($A25&lt;VLOOKUP(U$5,NFI,5,0),1,0)*Data_NFI_t[[#This Row],[Plastic Mat]],0)</f>
        <v>7</v>
      </c>
      <c r="AP25" s="709">
        <f>IF(NFI_Expiration=1,IF($A25&lt;VLOOKUP(V$5,NFI,5,0),1,0)*Data_NFI_t[[#This Row],[Adult Clothes]],0)</f>
        <v>0</v>
      </c>
      <c r="AQ25" s="709">
        <f>IF(NFI_Expiration=1,IF($A25&lt;VLOOKUP(W$5,NFI,5,0),1,0)*Data_NFI_t[[#This Row],[Children Clothes]],0)</f>
        <v>0</v>
      </c>
      <c r="AR25" s="709">
        <f>IF(NFI_Expiration=1,IF($A25&lt;VLOOKUP(X$5,NFI,5,0),1,0)*Data_NFI_t[[#This Row],[Sewing Kit]],0)</f>
        <v>0</v>
      </c>
      <c r="AS25" s="709">
        <f>IF(NFI_Expiration=1,IF($A25&lt;VLOOKUP(X$5,NFI,5,0),1,0)*Data_NFI_t[[#This Row],[Solar Lantern]],0)</f>
        <v>1</v>
      </c>
      <c r="AT25" s="754" t="str">
        <f ca="1">IFERROR(OFFSET(Camp_List[P_Code],MATCH(Data_NFI_t[[#This Row],[Camp Name]],Camp_List[Camp Name],0)-1,0,1,1),"")</f>
        <v>MMR012CMP016</v>
      </c>
      <c r="AU25" s="755" t="str">
        <f ca="1">IFERROR(OFFSET(Camp_List[Status],MATCH(Data_NFI_t[[#This Row],[Camp Name]],Camp_List[Camp Name],0)-1,0,1,1),"")</f>
        <v>Open</v>
      </c>
      <c r="AV25" s="756" t="s">
        <v>1145</v>
      </c>
      <c r="AY25" s="747"/>
    </row>
    <row r="26" spans="1:51" s="745" customFormat="1" ht="18.75" customHeight="1" x14ac:dyDescent="0.25">
      <c r="A26" s="948">
        <f>IF(ISBLANK(C26),"",(Report_Date-C26)/30)</f>
        <v>5.4333333333333336</v>
      </c>
      <c r="B26" s="949">
        <f>YEAR(Data_NFI_t[[#This Row],[Distribution Date]])</f>
        <v>2018</v>
      </c>
      <c r="C26" s="973">
        <v>43271</v>
      </c>
      <c r="D26" s="947" t="s">
        <v>270</v>
      </c>
      <c r="E26" s="947" t="s">
        <v>575</v>
      </c>
      <c r="F26" s="947" t="s">
        <v>7</v>
      </c>
      <c r="G26" s="951" t="s">
        <v>13</v>
      </c>
      <c r="H26" s="951" t="s">
        <v>982</v>
      </c>
      <c r="I26" s="205"/>
      <c r="J26" s="952">
        <v>905</v>
      </c>
      <c r="K26" s="952">
        <v>4233</v>
      </c>
      <c r="L26" s="715"/>
      <c r="M26" s="715"/>
      <c r="N26" s="716">
        <v>1810</v>
      </c>
      <c r="O26" s="716"/>
      <c r="P26" s="716">
        <v>1810</v>
      </c>
      <c r="Q26" s="716">
        <v>905</v>
      </c>
      <c r="R26" s="716"/>
      <c r="S26" s="971"/>
      <c r="T26" s="972"/>
      <c r="U26" s="716">
        <v>4525</v>
      </c>
      <c r="V26" s="887"/>
      <c r="W26" s="887"/>
      <c r="X26" s="716"/>
      <c r="Y26" s="716"/>
      <c r="Z26" s="716"/>
      <c r="AA26" s="716"/>
      <c r="AB26" s="716"/>
      <c r="AC26" s="716"/>
      <c r="AD26" s="709">
        <f>IF(NFI_Expiration=1,IF($A26&lt;VLOOKUP(I$5,NFI,5,0),1,0)*Data_NFI_t[[#This Row],[Hygiene Kit]],0)</f>
        <v>0</v>
      </c>
      <c r="AE26" s="709">
        <f>IF(NFI_Expiration=1,IF($A26&lt;VLOOKUP(L$5,NFI,5,0),1,0)*Data_NFI_t[[#This Row],[NFI Core Kit]],0)</f>
        <v>0</v>
      </c>
      <c r="AF26" s="710">
        <f>IF(NFI_Expiration=1,IF($A26&lt;VLOOKUP(M$5,NFI,5,0),1,0)*Data_NFI_t[[#This Row],[Sanitary Kit]],0)</f>
        <v>0</v>
      </c>
      <c r="AG26" s="1055">
        <f>IF(NFI_Expiration=1,IF($A26&lt;VLOOKUP(AC$5,NFI,5,0),1,0)*Data_NFI_t[[#This Row],[Rope]],0)</f>
        <v>0</v>
      </c>
      <c r="AH26" s="710">
        <f>IF(NFI_Expiration=1,IF($A26&lt;VLOOKUP(N$5,NFI,5,0),1,0)*Data_NFI_t[[#This Row],[Mosquito net]],0)</f>
        <v>1810</v>
      </c>
      <c r="AI26" s="710">
        <f>IF(NFI_Expiration=1,IF($A26&lt;VLOOKUP(O$5,NFI,5,0),1,0)*Data_NFI_t[[#This Row],[Tarpaulin]],0)</f>
        <v>0</v>
      </c>
      <c r="AJ26" s="710">
        <f>IF(NFI_Expiration=1,IF($A26&lt;VLOOKUP(P$5,NFI,5,0),1,0)*Data_NFI_t[[#This Row],[Blanket]],0)</f>
        <v>1810</v>
      </c>
      <c r="AK26" s="710">
        <f>IF(NFI_Expiration=1,IF($A26&lt;VLOOKUP(Q$5,NFI,5,0),1,0)*Data_NFI_t[[#This Row],[Kitchen Set]],0)</f>
        <v>905</v>
      </c>
      <c r="AL26" s="710">
        <f>IF(NFI_Expiration=1,IF($A26&lt;VLOOKUP(R$5,NFI,5,0),1,0)*Data_NFI_t[[#This Row],[Complementary Kit]],0)</f>
        <v>0</v>
      </c>
      <c r="AM26" s="710">
        <f>IF(NFI_Expiration=1,IF($A26&lt;VLOOKUP(S$5,NFI,5,0),1,0)*Data_NFI_t[[#This Row],[Plastic Bucket]],0)</f>
        <v>0</v>
      </c>
      <c r="AN26" s="709">
        <f>IF(NFI_Expiration=1,IF($A26&lt;VLOOKUP(T$5,NFI,5,0),1,0)*Data_NFI_t[[#This Row],[Jerry Can]],0)</f>
        <v>0</v>
      </c>
      <c r="AO26" s="709">
        <f>IF(NFI_Expiration=1,IF($A26&lt;VLOOKUP(U$5,NFI,5,0),1,0)*Data_NFI_t[[#This Row],[Plastic Mat]],0)*IF(Data_NFI_t[[#This Row],[Distribution Date]]&gt;"01-06-2015",1,2.5)</f>
        <v>11312.5</v>
      </c>
      <c r="AP26" s="709">
        <f>IF(NFI_Expiration=1,IF($A26&lt;VLOOKUP(V$5,NFI,5,0),1,0)*Data_NFI_t[[#This Row],[Adult Clothes]],0)</f>
        <v>0</v>
      </c>
      <c r="AQ26" s="709">
        <f>IF(NFI_Expiration=1,IF($A26&lt;VLOOKUP(W$5,NFI,5,0),1,0)*Data_NFI_t[[#This Row],[Children Clothes]],0)</f>
        <v>0</v>
      </c>
      <c r="AR26" s="709">
        <f>IF(NFI_Expiration=1,IF($A26&lt;VLOOKUP(X$5,NFI,5,0),1,0)*Data_NFI_t[[#This Row],[Sewing Kit]],0)</f>
        <v>0</v>
      </c>
      <c r="AS26" s="709">
        <f>IF(NFI_Expiration=1,IF($A26&lt;VLOOKUP(X$5,NFI,5,0),1,0)*Data_NFI_t[[#This Row],[Solar Lantern]],0)</f>
        <v>0</v>
      </c>
      <c r="AT26" s="105" t="str">
        <f ca="1">IFERROR(OFFSET(Camp_List[P_Code],MATCH(Data_NFI_t[[#This Row],[Camp Name]],Camp_List[Camp Name],0)-1,0,1,1),"")</f>
        <v>MMR012CMP017</v>
      </c>
      <c r="AU26" s="412" t="str">
        <f ca="1">IFERROR(OFFSET(Camp_List[Status],MATCH(Data_NFI_t[[#This Row],[Camp Name]],Camp_List[Camp Name],0)-1,0,1,1),"")</f>
        <v>Open</v>
      </c>
      <c r="AV26" s="105"/>
      <c r="AY26" s="747"/>
    </row>
    <row r="27" spans="1:51" s="745" customFormat="1" ht="18.75" customHeight="1" x14ac:dyDescent="0.25">
      <c r="A27" s="948">
        <f t="shared" si="2"/>
        <v>5.4333333333333336</v>
      </c>
      <c r="B27" s="949">
        <f>YEAR(Data_NFI_t[[#This Row],[Distribution Date]])</f>
        <v>2018</v>
      </c>
      <c r="C27" s="973">
        <v>43271</v>
      </c>
      <c r="D27" s="947" t="s">
        <v>1027</v>
      </c>
      <c r="E27" s="947" t="s">
        <v>1027</v>
      </c>
      <c r="F27" s="947" t="s">
        <v>7</v>
      </c>
      <c r="G27" s="951" t="s">
        <v>17</v>
      </c>
      <c r="H27" s="951" t="s">
        <v>587</v>
      </c>
      <c r="I27" s="205"/>
      <c r="J27" s="952">
        <v>150</v>
      </c>
      <c r="K27" s="952">
        <v>750</v>
      </c>
      <c r="L27" s="715"/>
      <c r="M27" s="715"/>
      <c r="N27" s="716">
        <v>150</v>
      </c>
      <c r="O27" s="716"/>
      <c r="P27" s="716"/>
      <c r="Q27" s="716"/>
      <c r="R27" s="716"/>
      <c r="S27" s="971"/>
      <c r="T27" s="972"/>
      <c r="U27" s="716"/>
      <c r="V27" s="887"/>
      <c r="W27" s="887"/>
      <c r="X27" s="716"/>
      <c r="Y27" s="716"/>
      <c r="Z27" s="716"/>
      <c r="AA27" s="716"/>
      <c r="AB27" s="716"/>
      <c r="AC27" s="716"/>
      <c r="AD27" s="709">
        <f>IF(NFI_Expiration=1,IF($A27&lt;VLOOKUP(I$5,NFI,5,0),1,0)*Data_NFI_t[[#This Row],[Hygiene Kit]],0)</f>
        <v>0</v>
      </c>
      <c r="AE27" s="709">
        <f>IF(NFI_Expiration=1,IF($A27&lt;VLOOKUP(L$5,NFI,5,0),1,0)*Data_NFI_t[[#This Row],[NFI Core Kit]],0)</f>
        <v>0</v>
      </c>
      <c r="AF27" s="710">
        <f>IF(NFI_Expiration=1,IF($A27&lt;VLOOKUP(M$5,NFI,5,0),1,0)*Data_NFI_t[[#This Row],[Sanitary Kit]],0)</f>
        <v>0</v>
      </c>
      <c r="AG27" s="1055">
        <f>IF(NFI_Expiration=1,IF($A27&lt;VLOOKUP(AC$5,NFI,5,0),1,0)*Data_NFI_t[[#This Row],[Rope]],0)</f>
        <v>0</v>
      </c>
      <c r="AH27" s="710">
        <f>IF(NFI_Expiration=1,IF($A27&lt;VLOOKUP(N$5,NFI,5,0),1,0)*Data_NFI_t[[#This Row],[Mosquito net]],0)</f>
        <v>150</v>
      </c>
      <c r="AI27" s="710">
        <f>IF(NFI_Expiration=1,IF($A27&lt;VLOOKUP(O$5,NFI,5,0),1,0)*Data_NFI_t[[#This Row],[Tarpaulin]],0)</f>
        <v>0</v>
      </c>
      <c r="AJ27" s="710">
        <f>IF(NFI_Expiration=1,IF($A27&lt;VLOOKUP(P$5,NFI,5,0),1,0)*Data_NFI_t[[#This Row],[Blanket]],0)</f>
        <v>0</v>
      </c>
      <c r="AK27" s="710">
        <f>IF(NFI_Expiration=1,IF($A27&lt;VLOOKUP(Q$5,NFI,5,0),1,0)*Data_NFI_t[[#This Row],[Kitchen Set]],0)</f>
        <v>0</v>
      </c>
      <c r="AL27" s="710">
        <f>IF(NFI_Expiration=1,IF($A27&lt;VLOOKUP(R$5,NFI,5,0),1,0)*Data_NFI_t[[#This Row],[Complementary Kit]],0)</f>
        <v>0</v>
      </c>
      <c r="AM27" s="710">
        <f>IF(NFI_Expiration=1,IF($A27&lt;VLOOKUP(S$5,NFI,5,0),1,0)*Data_NFI_t[[#This Row],[Plastic Bucket]],0)</f>
        <v>0</v>
      </c>
      <c r="AN27" s="709">
        <f>IF(NFI_Expiration=1,IF($A27&lt;VLOOKUP(T$5,NFI,5,0),1,0)*Data_NFI_t[[#This Row],[Jerry Can]],0)</f>
        <v>0</v>
      </c>
      <c r="AO27" s="709">
        <f>IF(NFI_Expiration=1,IF($A27&lt;VLOOKUP(U$5,NFI,5,0),1,0)*Data_NFI_t[[#This Row],[Plastic Mat]],0)*IF(Data_NFI_t[[#This Row],[Distribution Date]]&gt;"01-06-2015",1,2.5)</f>
        <v>0</v>
      </c>
      <c r="AP27" s="709">
        <f>IF(NFI_Expiration=1,IF($A27&lt;VLOOKUP(V$5,NFI,5,0),1,0)*Data_NFI_t[[#This Row],[Adult Clothes]],0)</f>
        <v>0</v>
      </c>
      <c r="AQ27" s="709">
        <f>IF(NFI_Expiration=1,IF($A27&lt;VLOOKUP(W$5,NFI,5,0),1,0)*Data_NFI_t[[#This Row],[Children Clothes]],0)</f>
        <v>0</v>
      </c>
      <c r="AR27" s="709">
        <f>IF(NFI_Expiration=1,IF($A27&lt;VLOOKUP(X$5,NFI,5,0),1,0)*Data_NFI_t[[#This Row],[Sewing Kit]],0)</f>
        <v>0</v>
      </c>
      <c r="AS27" s="709">
        <f>IF(NFI_Expiration=1,IF($A27&lt;VLOOKUP(X$5,NFI,5,0),1,0)*Data_NFI_t[[#This Row],[Solar Lantern]],0)</f>
        <v>0</v>
      </c>
      <c r="AT27" s="754" t="str">
        <f ca="1">IFERROR(OFFSET(Camp_List[P_Code],MATCH(Data_NFI_t[[#This Row],[Camp Name]],Camp_List[Camp Name],0)-1,0,1,1),"")</f>
        <v>MMR012CMP116</v>
      </c>
      <c r="AU27" s="755" t="str">
        <f ca="1">IFERROR(OFFSET(Camp_List[Status],MATCH(Data_NFI_t[[#This Row],[Camp Name]],Camp_List[Camp Name],0)-1,0,1,1),"")</f>
        <v>Open</v>
      </c>
      <c r="AV27" s="754"/>
      <c r="AY27" s="747"/>
    </row>
    <row r="28" spans="1:51" s="745" customFormat="1" ht="18.75" customHeight="1" x14ac:dyDescent="0.25">
      <c r="A28" s="948">
        <f t="shared" si="2"/>
        <v>5.6333333333333337</v>
      </c>
      <c r="B28" s="949">
        <f>YEAR(Data_NFI_t[[#This Row],[Distribution Date]])</f>
        <v>2018</v>
      </c>
      <c r="C28" s="973">
        <v>43265</v>
      </c>
      <c r="D28" s="947" t="s">
        <v>1016</v>
      </c>
      <c r="E28" s="947" t="s">
        <v>1016</v>
      </c>
      <c r="F28" s="947" t="s">
        <v>7</v>
      </c>
      <c r="G28" s="951" t="s">
        <v>13</v>
      </c>
      <c r="H28" s="951" t="s">
        <v>982</v>
      </c>
      <c r="I28" s="205"/>
      <c r="J28" s="952">
        <v>905</v>
      </c>
      <c r="K28" s="952">
        <v>4233</v>
      </c>
      <c r="L28" s="715"/>
      <c r="M28" s="715"/>
      <c r="N28" s="716"/>
      <c r="O28" s="716"/>
      <c r="P28" s="716"/>
      <c r="Q28" s="716"/>
      <c r="R28" s="716"/>
      <c r="S28" s="971"/>
      <c r="T28" s="972"/>
      <c r="U28" s="716"/>
      <c r="V28" s="887"/>
      <c r="W28" s="887"/>
      <c r="X28" s="716"/>
      <c r="Y28" s="716"/>
      <c r="Z28" s="716"/>
      <c r="AA28" s="716"/>
      <c r="AB28" s="716"/>
      <c r="AC28" s="716"/>
      <c r="AD28" s="709">
        <f>IF(NFI_Expiration=1,IF($A28&lt;VLOOKUP(I$5,NFI,5,0),1,0)*Data_NFI_t[[#This Row],[Hygiene Kit]],0)</f>
        <v>0</v>
      </c>
      <c r="AE28" s="709">
        <f>IF(NFI_Expiration=1,IF($A28&lt;VLOOKUP(L$5,NFI,5,0),1,0)*Data_NFI_t[[#This Row],[NFI Core Kit]],0)</f>
        <v>0</v>
      </c>
      <c r="AF28" s="710">
        <f>IF(NFI_Expiration=1,IF($A28&lt;VLOOKUP(M$5,NFI,5,0),1,0)*Data_NFI_t[[#This Row],[Sanitary Kit]],0)</f>
        <v>0</v>
      </c>
      <c r="AG28" s="1055">
        <f>IF(NFI_Expiration=1,IF($A28&lt;VLOOKUP(AC$5,NFI,5,0),1,0)*Data_NFI_t[[#This Row],[Rope]],0)</f>
        <v>0</v>
      </c>
      <c r="AH28" s="710">
        <f>IF(NFI_Expiration=1,IF($A28&lt;VLOOKUP(N$5,NFI,5,0),1,0)*Data_NFI_t[[#This Row],[Mosquito net]],0)</f>
        <v>0</v>
      </c>
      <c r="AI28" s="710">
        <f>IF(NFI_Expiration=1,IF($A28&lt;VLOOKUP(O$5,NFI,5,0),1,0)*Data_NFI_t[[#This Row],[Tarpaulin]],0)</f>
        <v>0</v>
      </c>
      <c r="AJ28" s="710">
        <f>IF(NFI_Expiration=1,IF($A28&lt;VLOOKUP(P$5,NFI,5,0),1,0)*Data_NFI_t[[#This Row],[Blanket]],0)</f>
        <v>0</v>
      </c>
      <c r="AK28" s="710">
        <f>IF(NFI_Expiration=1,IF($A28&lt;VLOOKUP(Q$5,NFI,5,0),1,0)*Data_NFI_t[[#This Row],[Kitchen Set]],0)</f>
        <v>0</v>
      </c>
      <c r="AL28" s="710">
        <f>IF(NFI_Expiration=1,IF($A28&lt;VLOOKUP(R$5,NFI,5,0),1,0)*Data_NFI_t[[#This Row],[Complementary Kit]],0)</f>
        <v>0</v>
      </c>
      <c r="AM28" s="710">
        <f>IF(NFI_Expiration=1,IF($A28&lt;VLOOKUP(S$5,NFI,5,0),1,0)*Data_NFI_t[[#This Row],[Plastic Bucket]],0)</f>
        <v>0</v>
      </c>
      <c r="AN28" s="709">
        <f>IF(NFI_Expiration=1,IF($A28&lt;VLOOKUP(T$5,NFI,5,0),1,0)*Data_NFI_t[[#This Row],[Jerry Can]],0)</f>
        <v>0</v>
      </c>
      <c r="AO28" s="709">
        <f>IF(NFI_Expiration=1,IF($A28&lt;VLOOKUP(U$5,NFI,5,0),1,0)*Data_NFI_t[[#This Row],[Plastic Mat]],0)*IF(Data_NFI_t[[#This Row],[Distribution Date]]&gt;"01-06-2015",1,2.5)</f>
        <v>0</v>
      </c>
      <c r="AP28" s="709">
        <f>IF(NFI_Expiration=1,IF($A28&lt;VLOOKUP(V$5,NFI,5,0),1,0)*Data_NFI_t[[#This Row],[Adult Clothes]],0)</f>
        <v>0</v>
      </c>
      <c r="AQ28" s="709">
        <f>IF(NFI_Expiration=1,IF($A28&lt;VLOOKUP(W$5,NFI,5,0),1,0)*Data_NFI_t[[#This Row],[Children Clothes]],0)</f>
        <v>0</v>
      </c>
      <c r="AR28" s="709">
        <f>IF(NFI_Expiration=1,IF($A28&lt;VLOOKUP(X$5,NFI,5,0),1,0)*Data_NFI_t[[#This Row],[Sewing Kit]],0)</f>
        <v>0</v>
      </c>
      <c r="AS28" s="709">
        <f>IF(NFI_Expiration=1,IF($A28&lt;VLOOKUP(X$5,NFI,5,0),1,0)*Data_NFI_t[[#This Row],[Solar Lantern]],0)</f>
        <v>0</v>
      </c>
      <c r="AT28" s="105" t="str">
        <f ca="1">IFERROR(OFFSET(Camp_List[P_Code],MATCH(Data_NFI_t[[#This Row],[Camp Name]],Camp_List[Camp Name],0)-1,0,1,1),"")</f>
        <v>MMR012CMP017</v>
      </c>
      <c r="AU28" s="412" t="str">
        <f ca="1">IFERROR(OFFSET(Camp_List[Status],MATCH(Data_NFI_t[[#This Row],[Camp Name]],Camp_List[Camp Name],0)-1,0,1,1),"")</f>
        <v>Open</v>
      </c>
      <c r="AV28" s="105"/>
      <c r="AY28" s="747"/>
    </row>
    <row r="29" spans="1:51" s="745" customFormat="1" ht="18.75" customHeight="1" x14ac:dyDescent="0.25">
      <c r="A29" s="948">
        <f>IF(ISBLANK(C29),"",(Report_Date-C29)/30)</f>
        <v>5.6333333333333337</v>
      </c>
      <c r="B29" s="949">
        <f>YEAR(Data_NFI_t[[#This Row],[Distribution Date]])</f>
        <v>2018</v>
      </c>
      <c r="C29" s="973">
        <v>43265</v>
      </c>
      <c r="D29" s="947" t="s">
        <v>270</v>
      </c>
      <c r="E29" s="947" t="s">
        <v>658</v>
      </c>
      <c r="F29" s="947" t="s">
        <v>7</v>
      </c>
      <c r="G29" s="951" t="s">
        <v>814</v>
      </c>
      <c r="H29" s="951" t="s">
        <v>36</v>
      </c>
      <c r="I29" s="205"/>
      <c r="J29" s="952">
        <v>637</v>
      </c>
      <c r="K29" s="952">
        <v>2502</v>
      </c>
      <c r="L29" s="715"/>
      <c r="M29" s="715"/>
      <c r="N29" s="716"/>
      <c r="O29" s="716">
        <v>1440</v>
      </c>
      <c r="P29" s="716"/>
      <c r="Q29" s="716"/>
      <c r="R29" s="716"/>
      <c r="S29" s="971"/>
      <c r="T29" s="972"/>
      <c r="U29" s="716"/>
      <c r="V29" s="887"/>
      <c r="W29" s="887"/>
      <c r="X29" s="716"/>
      <c r="Y29" s="716"/>
      <c r="Z29" s="716"/>
      <c r="AA29" s="716"/>
      <c r="AB29" s="716"/>
      <c r="AC29" s="716"/>
      <c r="AD29" s="709">
        <f>IF(NFI_Expiration=1,IF($A29&lt;VLOOKUP(I$5,NFI,5,0),1,0)*Data_NFI_t[[#This Row],[Hygiene Kit]],0)</f>
        <v>0</v>
      </c>
      <c r="AE29" s="709">
        <f>IF(NFI_Expiration=1,IF($A29&lt;VLOOKUP(L$5,NFI,5,0),1,0)*Data_NFI_t[[#This Row],[NFI Core Kit]],0)</f>
        <v>0</v>
      </c>
      <c r="AF29" s="710">
        <f>IF(NFI_Expiration=1,IF($A29&lt;VLOOKUP(M$5,NFI,5,0),1,0)*Data_NFI_t[[#This Row],[Sanitary Kit]],0)</f>
        <v>0</v>
      </c>
      <c r="AG29" s="1055">
        <f>IF(NFI_Expiration=1,IF($A29&lt;VLOOKUP(AC$5,NFI,5,0),1,0)*Data_NFI_t[[#This Row],[Rope]],0)</f>
        <v>0</v>
      </c>
      <c r="AH29" s="710">
        <f>IF(NFI_Expiration=1,IF($A29&lt;VLOOKUP(N$5,NFI,5,0),1,0)*Data_NFI_t[[#This Row],[Mosquito net]],0)</f>
        <v>0</v>
      </c>
      <c r="AI29" s="710">
        <f>IF(NFI_Expiration=1,IF($A29&lt;VLOOKUP(O$5,NFI,5,0),1,0)*Data_NFI_t[[#This Row],[Tarpaulin]],0)</f>
        <v>1440</v>
      </c>
      <c r="AJ29" s="710">
        <f>IF(NFI_Expiration=1,IF($A29&lt;VLOOKUP(P$5,NFI,5,0),1,0)*Data_NFI_t[[#This Row],[Blanket]],0)</f>
        <v>0</v>
      </c>
      <c r="AK29" s="710">
        <f>IF(NFI_Expiration=1,IF($A29&lt;VLOOKUP(Q$5,NFI,5,0),1,0)*Data_NFI_t[[#This Row],[Kitchen Set]],0)</f>
        <v>0</v>
      </c>
      <c r="AL29" s="710">
        <f>IF(NFI_Expiration=1,IF($A29&lt;VLOOKUP(R$5,NFI,5,0),1,0)*Data_NFI_t[[#This Row],[Complementary Kit]],0)</f>
        <v>0</v>
      </c>
      <c r="AM29" s="710">
        <f>IF(NFI_Expiration=1,IF($A29&lt;VLOOKUP(S$5,NFI,5,0),1,0)*Data_NFI_t[[#This Row],[Plastic Bucket]],0)</f>
        <v>0</v>
      </c>
      <c r="AN29" s="709">
        <f>IF(NFI_Expiration=1,IF($A29&lt;VLOOKUP(T$5,NFI,5,0),1,0)*Data_NFI_t[[#This Row],[Jerry Can]],0)</f>
        <v>0</v>
      </c>
      <c r="AO29" s="709">
        <f>IF(NFI_Expiration=1,IF($A29&lt;VLOOKUP(U$5,NFI,5,0),1,0)*Data_NFI_t[[#This Row],[Plastic Mat]],0)*IF(Data_NFI_t[[#This Row],[Distribution Date]]&gt;"01-06-2015",1,2.5)</f>
        <v>0</v>
      </c>
      <c r="AP29" s="709">
        <f>IF(NFI_Expiration=1,IF($A29&lt;VLOOKUP(V$5,NFI,5,0),1,0)*Data_NFI_t[[#This Row],[Adult Clothes]],0)</f>
        <v>0</v>
      </c>
      <c r="AQ29" s="709">
        <f>IF(NFI_Expiration=1,IF($A29&lt;VLOOKUP(W$5,NFI,5,0),1,0)*Data_NFI_t[[#This Row],[Children Clothes]],0)</f>
        <v>0</v>
      </c>
      <c r="AR29" s="709">
        <f>IF(NFI_Expiration=1,IF($A29&lt;VLOOKUP(X$5,NFI,5,0),1,0)*Data_NFI_t[[#This Row],[Sewing Kit]],0)</f>
        <v>0</v>
      </c>
      <c r="AS29" s="709">
        <f>IF(NFI_Expiration=1,IF($A29&lt;VLOOKUP(X$5,NFI,5,0),1,0)*Data_NFI_t[[#This Row],[Solar Lantern]],0)</f>
        <v>0</v>
      </c>
      <c r="AT29" s="105" t="str">
        <f ca="1">IFERROR(OFFSET(Camp_List[P_Code],MATCH(Data_NFI_t[[#This Row],[Camp Name]],Camp_List[Camp Name],0)-1,0,1,1),"")</f>
        <v>MMR012CMP014</v>
      </c>
      <c r="AU29" s="412" t="str">
        <f ca="1">IFERROR(OFFSET(Camp_List[Status],MATCH(Data_NFI_t[[#This Row],[Camp Name]],Camp_List[Camp Name],0)-1,0,1,1),"")</f>
        <v>Open</v>
      </c>
      <c r="AV29" s="105"/>
      <c r="AY29" s="747"/>
    </row>
    <row r="30" spans="1:51" s="745" customFormat="1" ht="18.75" customHeight="1" x14ac:dyDescent="0.25">
      <c r="A30" s="948">
        <f t="shared" si="2"/>
        <v>5.666666666666667</v>
      </c>
      <c r="B30" s="949">
        <f>YEAR(Data_NFI_t[[#This Row],[Distribution Date]])</f>
        <v>2018</v>
      </c>
      <c r="C30" s="973">
        <v>43264</v>
      </c>
      <c r="D30" s="947" t="s">
        <v>1016</v>
      </c>
      <c r="E30" s="947" t="s">
        <v>1016</v>
      </c>
      <c r="F30" s="947" t="s">
        <v>7</v>
      </c>
      <c r="G30" s="951" t="s">
        <v>13</v>
      </c>
      <c r="H30" s="951" t="s">
        <v>38</v>
      </c>
      <c r="I30" s="205"/>
      <c r="J30" s="952">
        <v>1249</v>
      </c>
      <c r="K30" s="952">
        <v>4699</v>
      </c>
      <c r="L30" s="715"/>
      <c r="M30" s="715"/>
      <c r="N30" s="716">
        <v>1249</v>
      </c>
      <c r="O30" s="716">
        <v>1249</v>
      </c>
      <c r="P30" s="716">
        <v>1249</v>
      </c>
      <c r="Q30" s="716"/>
      <c r="R30" s="716"/>
      <c r="S30" s="971"/>
      <c r="T30" s="972"/>
      <c r="U30" s="716"/>
      <c r="V30" s="887"/>
      <c r="W30" s="887"/>
      <c r="X30" s="716"/>
      <c r="Y30" s="716"/>
      <c r="Z30" s="716"/>
      <c r="AA30" s="716"/>
      <c r="AB30" s="716"/>
      <c r="AC30" s="716"/>
      <c r="AD30" s="709">
        <f>IF(NFI_Expiration=1,IF($A30&lt;VLOOKUP(I$5,NFI,5,0),1,0)*Data_NFI_t[[#This Row],[Hygiene Kit]],0)</f>
        <v>0</v>
      </c>
      <c r="AE30" s="709">
        <f>IF(NFI_Expiration=1,IF($A30&lt;VLOOKUP(L$5,NFI,5,0),1,0)*Data_NFI_t[[#This Row],[NFI Core Kit]],0)</f>
        <v>0</v>
      </c>
      <c r="AF30" s="710">
        <f>IF(NFI_Expiration=1,IF($A30&lt;VLOOKUP(M$5,NFI,5,0),1,0)*Data_NFI_t[[#This Row],[Sanitary Kit]],0)</f>
        <v>0</v>
      </c>
      <c r="AG30" s="1055">
        <f>IF(NFI_Expiration=1,IF($A30&lt;VLOOKUP(AC$5,NFI,5,0),1,0)*Data_NFI_t[[#This Row],[Rope]],0)</f>
        <v>0</v>
      </c>
      <c r="AH30" s="710">
        <f>IF(NFI_Expiration=1,IF($A30&lt;VLOOKUP(N$5,NFI,5,0),1,0)*Data_NFI_t[[#This Row],[Mosquito net]],0)</f>
        <v>1249</v>
      </c>
      <c r="AI30" s="710">
        <f>IF(NFI_Expiration=1,IF($A30&lt;VLOOKUP(O$5,NFI,5,0),1,0)*Data_NFI_t[[#This Row],[Tarpaulin]],0)</f>
        <v>1249</v>
      </c>
      <c r="AJ30" s="710">
        <f>IF(NFI_Expiration=1,IF($A30&lt;VLOOKUP(P$5,NFI,5,0),1,0)*Data_NFI_t[[#This Row],[Blanket]],0)</f>
        <v>1249</v>
      </c>
      <c r="AK30" s="710">
        <f>IF(NFI_Expiration=1,IF($A30&lt;VLOOKUP(Q$5,NFI,5,0),1,0)*Data_NFI_t[[#This Row],[Kitchen Set]],0)</f>
        <v>0</v>
      </c>
      <c r="AL30" s="710">
        <f>IF(NFI_Expiration=1,IF($A30&lt;VLOOKUP(R$5,NFI,5,0),1,0)*Data_NFI_t[[#This Row],[Complementary Kit]],0)</f>
        <v>0</v>
      </c>
      <c r="AM30" s="710">
        <f>IF(NFI_Expiration=1,IF($A30&lt;VLOOKUP(S$5,NFI,5,0),1,0)*Data_NFI_t[[#This Row],[Plastic Bucket]],0)</f>
        <v>0</v>
      </c>
      <c r="AN30" s="709">
        <f>IF(NFI_Expiration=1,IF($A30&lt;VLOOKUP(T$5,NFI,5,0),1,0)*Data_NFI_t[[#This Row],[Jerry Can]],0)</f>
        <v>0</v>
      </c>
      <c r="AO30" s="709">
        <f>IF(NFI_Expiration=1,IF($A30&lt;VLOOKUP(U$5,NFI,5,0),1,0)*Data_NFI_t[[#This Row],[Plastic Mat]],0)*IF(Data_NFI_t[[#This Row],[Distribution Date]]&gt;"01-06-2015",1,2.5)</f>
        <v>0</v>
      </c>
      <c r="AP30" s="709">
        <f>IF(NFI_Expiration=1,IF($A30&lt;VLOOKUP(V$5,NFI,5,0),1,0)*Data_NFI_t[[#This Row],[Adult Clothes]],0)</f>
        <v>0</v>
      </c>
      <c r="AQ30" s="709">
        <f>IF(NFI_Expiration=1,IF($A30&lt;VLOOKUP(W$5,NFI,5,0),1,0)*Data_NFI_t[[#This Row],[Children Clothes]],0)</f>
        <v>0</v>
      </c>
      <c r="AR30" s="709">
        <f>IF(NFI_Expiration=1,IF($A30&lt;VLOOKUP(X$5,NFI,5,0),1,0)*Data_NFI_t[[#This Row],[Sewing Kit]],0)</f>
        <v>0</v>
      </c>
      <c r="AS30" s="709">
        <f>IF(NFI_Expiration=1,IF($A30&lt;VLOOKUP(X$5,NFI,5,0),1,0)*Data_NFI_t[[#This Row],[Solar Lantern]],0)</f>
        <v>0</v>
      </c>
      <c r="AT30" s="105" t="str">
        <f ca="1">IFERROR(OFFSET(Camp_List[P_Code],MATCH(Data_NFI_t[[#This Row],[Camp Name]],Camp_List[Camp Name],0)-1,0,1,1),"")</f>
        <v>MMR012CMP016</v>
      </c>
      <c r="AU30" s="412" t="str">
        <f ca="1">IFERROR(OFFSET(Camp_List[Status],MATCH(Data_NFI_t[[#This Row],[Camp Name]],Camp_List[Camp Name],0)-1,0,1,1),"")</f>
        <v>Open</v>
      </c>
      <c r="AV30" s="105"/>
      <c r="AY30" s="747"/>
    </row>
    <row r="31" spans="1:51" s="745" customFormat="1" ht="17.25" customHeight="1" x14ac:dyDescent="0.25">
      <c r="A31" s="948">
        <f t="shared" si="2"/>
        <v>6.5666666666666664</v>
      </c>
      <c r="B31" s="949">
        <f>YEAR(Data_NFI_t[[#This Row],[Distribution Date]])</f>
        <v>2018</v>
      </c>
      <c r="C31" s="969">
        <v>43237</v>
      </c>
      <c r="D31" s="947" t="s">
        <v>273</v>
      </c>
      <c r="E31" s="947" t="s">
        <v>273</v>
      </c>
      <c r="F31" s="947" t="s">
        <v>7</v>
      </c>
      <c r="G31" s="951" t="s">
        <v>13</v>
      </c>
      <c r="H31" s="951" t="s">
        <v>41</v>
      </c>
      <c r="I31" s="714"/>
      <c r="J31" s="952">
        <v>73</v>
      </c>
      <c r="K31" s="952">
        <v>73</v>
      </c>
      <c r="L31" s="715"/>
      <c r="M31" s="715"/>
      <c r="N31" s="716"/>
      <c r="O31" s="716"/>
      <c r="P31" s="716"/>
      <c r="Q31" s="716"/>
      <c r="R31" s="716"/>
      <c r="S31" s="716"/>
      <c r="T31" s="717"/>
      <c r="U31" s="716"/>
      <c r="V31" s="970">
        <v>73</v>
      </c>
      <c r="W31" s="970">
        <v>10</v>
      </c>
      <c r="X31" s="716"/>
      <c r="Y31" s="716"/>
      <c r="Z31" s="716"/>
      <c r="AA31" s="716"/>
      <c r="AB31" s="716"/>
      <c r="AC31" s="716"/>
      <c r="AD31" s="709">
        <f>IF(NFI_Expiration=1,IF($A31&lt;VLOOKUP(I$5,NFI,5,0),1,0)*Data_NFI_t[[#This Row],[Hygiene Kit]],0)</f>
        <v>0</v>
      </c>
      <c r="AE31" s="709">
        <f>IF(NFI_Expiration=1,IF($A31&lt;VLOOKUP(L$5,NFI,5,0),1,0)*Data_NFI_t[[#This Row],[NFI Core Kit]],0)</f>
        <v>0</v>
      </c>
      <c r="AF31" s="710">
        <f>IF(NFI_Expiration=1,IF($A31&lt;VLOOKUP(M$5,NFI,5,0),1,0)*Data_NFI_t[[#This Row],[Sanitary Kit]],0)</f>
        <v>0</v>
      </c>
      <c r="AG31" s="1055">
        <f>IF(NFI_Expiration=1,IF($A31&lt;VLOOKUP(AC$5,NFI,5,0),1,0)*Data_NFI_t[[#This Row],[Rope]],0)</f>
        <v>0</v>
      </c>
      <c r="AH31" s="710">
        <f>IF(NFI_Expiration=1,IF($A31&lt;VLOOKUP(N$5,NFI,5,0),1,0)*Data_NFI_t[[#This Row],[Mosquito net]],0)</f>
        <v>0</v>
      </c>
      <c r="AI31" s="710">
        <f>IF(NFI_Expiration=1,IF($A31&lt;VLOOKUP(O$5,NFI,5,0),1,0)*Data_NFI_t[[#This Row],[Tarpaulin]],0)</f>
        <v>0</v>
      </c>
      <c r="AJ31" s="710">
        <f>IF(NFI_Expiration=1,IF($A31&lt;VLOOKUP(P$5,NFI,5,0),1,0)*Data_NFI_t[[#This Row],[Blanket]],0)</f>
        <v>0</v>
      </c>
      <c r="AK31" s="710">
        <f>IF(NFI_Expiration=1,IF($A31&lt;VLOOKUP(Q$5,NFI,5,0),1,0)*Data_NFI_t[[#This Row],[Kitchen Set]],0)</f>
        <v>0</v>
      </c>
      <c r="AL31" s="710">
        <f>IF(NFI_Expiration=1,IF($A31&lt;VLOOKUP(R$5,NFI,5,0),1,0)*Data_NFI_t[[#This Row],[Complementary Kit]],0)</f>
        <v>0</v>
      </c>
      <c r="AM31" s="710">
        <f>IF(NFI_Expiration=1,IF($A31&lt;VLOOKUP(S$5,NFI,5,0),1,0)*Data_NFI_t[[#This Row],[Plastic Bucket]],0)</f>
        <v>0</v>
      </c>
      <c r="AN31" s="709">
        <f>IF(NFI_Expiration=1,IF($A31&lt;VLOOKUP(T$5,NFI,5,0),1,0)*Data_NFI_t[[#This Row],[Jerry Can]],0)</f>
        <v>0</v>
      </c>
      <c r="AO31" s="709">
        <f>IF(NFI_Expiration=1,IF($A31&lt;VLOOKUP(U$5,NFI,5,0),1,0)*Data_NFI_t[[#This Row],[Plastic Mat]],0)*IF(Data_NFI_t[[#This Row],[Distribution Date]]&gt;"01-06-2015",1,2.5)</f>
        <v>0</v>
      </c>
      <c r="AP31" s="709">
        <f>IF(NFI_Expiration=1,IF($A31&lt;VLOOKUP(V$5,NFI,5,0),1,0)*Data_NFI_t[[#This Row],[Adult Clothes]],0)</f>
        <v>73</v>
      </c>
      <c r="AQ31" s="709">
        <f>IF(NFI_Expiration=1,IF($A31&lt;VLOOKUP(W$5,NFI,5,0),1,0)*Data_NFI_t[[#This Row],[Children Clothes]],0)</f>
        <v>10</v>
      </c>
      <c r="AR31" s="709">
        <f>IF(NFI_Expiration=1,IF($A31&lt;VLOOKUP(X$5,NFI,5,0),1,0)*Data_NFI_t[[#This Row],[Sewing Kit]],0)</f>
        <v>0</v>
      </c>
      <c r="AS31" s="709">
        <f>IF(NFI_Expiration=1,IF($A31&lt;VLOOKUP(X$5,NFI,5,0),1,0)*Data_NFI_t[[#This Row],[Solar Lantern]],0)</f>
        <v>0</v>
      </c>
      <c r="AT31" s="105" t="str">
        <f ca="1">IFERROR(OFFSET(Camp_List[P_Code],MATCH(Data_NFI_t[[#This Row],[Camp Name]],Camp_List[Camp Name],0)-1,0,1,1),"")</f>
        <v>MMR012CMP019</v>
      </c>
      <c r="AU31" s="412" t="str">
        <f ca="1">IFERROR(OFFSET(Camp_List[Status],MATCH(Data_NFI_t[[#This Row],[Camp Name]],Camp_List[Camp Name],0)-1,0,1,1),"")</f>
        <v>Open</v>
      </c>
      <c r="AV31" s="105"/>
      <c r="AY31" s="747"/>
    </row>
    <row r="32" spans="1:51" s="745" customFormat="1" ht="21" customHeight="1" x14ac:dyDescent="0.25">
      <c r="A32" s="948">
        <f t="shared" si="2"/>
        <v>6.6</v>
      </c>
      <c r="B32" s="949">
        <f>YEAR(Data_NFI_t[[#This Row],[Distribution Date]])</f>
        <v>2018</v>
      </c>
      <c r="C32" s="969">
        <v>43236</v>
      </c>
      <c r="D32" s="947" t="s">
        <v>282</v>
      </c>
      <c r="E32" s="947" t="s">
        <v>282</v>
      </c>
      <c r="F32" s="947" t="s">
        <v>7</v>
      </c>
      <c r="G32" s="951" t="s">
        <v>17</v>
      </c>
      <c r="H32" s="951" t="s">
        <v>62</v>
      </c>
      <c r="I32" s="714"/>
      <c r="J32" s="952">
        <v>645</v>
      </c>
      <c r="K32" s="952">
        <v>777</v>
      </c>
      <c r="L32" s="715"/>
      <c r="M32" s="715"/>
      <c r="N32" s="716"/>
      <c r="O32" s="716"/>
      <c r="P32" s="716"/>
      <c r="Q32" s="716"/>
      <c r="R32" s="716"/>
      <c r="S32" s="716"/>
      <c r="T32" s="717"/>
      <c r="U32" s="716"/>
      <c r="V32" s="970"/>
      <c r="W32" s="970">
        <v>777</v>
      </c>
      <c r="X32" s="716"/>
      <c r="Y32" s="716"/>
      <c r="Z32" s="716"/>
      <c r="AA32" s="716"/>
      <c r="AB32" s="716"/>
      <c r="AC32" s="716"/>
      <c r="AD32" s="709">
        <f>IF(NFI_Expiration=1,IF($A32&lt;VLOOKUP(I$5,NFI,5,0),1,0)*Data_NFI_t[[#This Row],[Hygiene Kit]],0)</f>
        <v>0</v>
      </c>
      <c r="AE32" s="709">
        <f>IF(NFI_Expiration=1,IF($A32&lt;VLOOKUP(L$5,NFI,5,0),1,0)*Data_NFI_t[[#This Row],[NFI Core Kit]],0)</f>
        <v>0</v>
      </c>
      <c r="AF32" s="710">
        <f>IF(NFI_Expiration=1,IF($A32&lt;VLOOKUP(M$5,NFI,5,0),1,0)*Data_NFI_t[[#This Row],[Sanitary Kit]],0)</f>
        <v>0</v>
      </c>
      <c r="AG32" s="1055">
        <f>IF(NFI_Expiration=1,IF($A32&lt;VLOOKUP(AC$5,NFI,5,0),1,0)*Data_NFI_t[[#This Row],[Rope]],0)</f>
        <v>0</v>
      </c>
      <c r="AH32" s="710">
        <f>IF(NFI_Expiration=1,IF($A32&lt;VLOOKUP(N$5,NFI,5,0),1,0)*Data_NFI_t[[#This Row],[Mosquito net]],0)</f>
        <v>0</v>
      </c>
      <c r="AI32" s="710">
        <f>IF(NFI_Expiration=1,IF($A32&lt;VLOOKUP(O$5,NFI,5,0),1,0)*Data_NFI_t[[#This Row],[Tarpaulin]],0)</f>
        <v>0</v>
      </c>
      <c r="AJ32" s="710">
        <f>IF(NFI_Expiration=1,IF($A32&lt;VLOOKUP(P$5,NFI,5,0),1,0)*Data_NFI_t[[#This Row],[Blanket]],0)</f>
        <v>0</v>
      </c>
      <c r="AK32" s="710">
        <f>IF(NFI_Expiration=1,IF($A32&lt;VLOOKUP(Q$5,NFI,5,0),1,0)*Data_NFI_t[[#This Row],[Kitchen Set]],0)</f>
        <v>0</v>
      </c>
      <c r="AL32" s="710">
        <f>IF(NFI_Expiration=1,IF($A32&lt;VLOOKUP(R$5,NFI,5,0),1,0)*Data_NFI_t[[#This Row],[Complementary Kit]],0)</f>
        <v>0</v>
      </c>
      <c r="AM32" s="710">
        <f>IF(NFI_Expiration=1,IF($A32&lt;VLOOKUP(S$5,NFI,5,0),1,0)*Data_NFI_t[[#This Row],[Plastic Bucket]],0)</f>
        <v>0</v>
      </c>
      <c r="AN32" s="709">
        <f>IF(NFI_Expiration=1,IF($A32&lt;VLOOKUP(T$5,NFI,5,0),1,0)*Data_NFI_t[[#This Row],[Jerry Can]],0)</f>
        <v>0</v>
      </c>
      <c r="AO32" s="709">
        <f>IF(NFI_Expiration=1,IF($A32&lt;VLOOKUP(U$5,NFI,5,0),1,0)*Data_NFI_t[[#This Row],[Plastic Mat]],0)*IF(Data_NFI_t[[#This Row],[Distribution Date]]&gt;"01-06-2015",1,2.5)</f>
        <v>0</v>
      </c>
      <c r="AP32" s="709">
        <f>IF(NFI_Expiration=1,IF($A32&lt;VLOOKUP(V$5,NFI,5,0),1,0)*Data_NFI_t[[#This Row],[Adult Clothes]],0)</f>
        <v>0</v>
      </c>
      <c r="AQ32" s="709">
        <f>IF(NFI_Expiration=1,IF($A32&lt;VLOOKUP(W$5,NFI,5,0),1,0)*Data_NFI_t[[#This Row],[Children Clothes]],0)</f>
        <v>777</v>
      </c>
      <c r="AR32" s="709">
        <f>IF(NFI_Expiration=1,IF($A32&lt;VLOOKUP(X$5,NFI,5,0),1,0)*Data_NFI_t[[#This Row],[Sewing Kit]],0)</f>
        <v>0</v>
      </c>
      <c r="AS32" s="709">
        <f>IF(NFI_Expiration=1,IF($A32&lt;VLOOKUP(X$5,NFI,5,0),1,0)*Data_NFI_t[[#This Row],[Solar Lantern]],0)</f>
        <v>0</v>
      </c>
      <c r="AT32" s="105" t="str">
        <f ca="1">IFERROR(OFFSET(Camp_List[P_Code],MATCH(Data_NFI_t[[#This Row],[Camp Name]],Camp_List[Camp Name],0)-1,0,1,1),"")</f>
        <v/>
      </c>
      <c r="AU32" s="412" t="str">
        <f ca="1">IFERROR(OFFSET(Camp_List[Status],MATCH(Data_NFI_t[[#This Row],[Camp Name]],Camp_List[Camp Name],0)-1,0,1,1),"")</f>
        <v/>
      </c>
      <c r="AV32" s="105"/>
      <c r="AY32" s="747"/>
    </row>
    <row r="33" spans="1:51" s="745" customFormat="1" ht="21" customHeight="1" x14ac:dyDescent="0.25">
      <c r="A33" s="948">
        <f t="shared" si="2"/>
        <v>6.6</v>
      </c>
      <c r="B33" s="949">
        <f>YEAR(Data_NFI_t[[#This Row],[Distribution Date]])</f>
        <v>2018</v>
      </c>
      <c r="C33" s="969">
        <v>43236</v>
      </c>
      <c r="D33" s="947" t="s">
        <v>282</v>
      </c>
      <c r="E33" s="947" t="s">
        <v>282</v>
      </c>
      <c r="F33" s="947" t="s">
        <v>7</v>
      </c>
      <c r="G33" s="951" t="s">
        <v>17</v>
      </c>
      <c r="H33" s="951" t="s">
        <v>59</v>
      </c>
      <c r="I33" s="714"/>
      <c r="J33" s="952">
        <v>397</v>
      </c>
      <c r="K33" s="952">
        <v>397</v>
      </c>
      <c r="L33" s="715"/>
      <c r="M33" s="715"/>
      <c r="N33" s="716"/>
      <c r="O33" s="716"/>
      <c r="P33" s="716"/>
      <c r="Q33" s="716"/>
      <c r="R33" s="716"/>
      <c r="S33" s="716"/>
      <c r="T33" s="717"/>
      <c r="U33" s="716"/>
      <c r="V33" s="970"/>
      <c r="W33" s="970">
        <v>397</v>
      </c>
      <c r="X33" s="716"/>
      <c r="Y33" s="716"/>
      <c r="Z33" s="716"/>
      <c r="AA33" s="716"/>
      <c r="AB33" s="716"/>
      <c r="AC33" s="716"/>
      <c r="AD33" s="709">
        <f>IF(NFI_Expiration=1,IF($A33&lt;VLOOKUP(I$5,NFI,5,0),1,0)*Data_NFI_t[[#This Row],[Hygiene Kit]],0)</f>
        <v>0</v>
      </c>
      <c r="AE33" s="709">
        <f>IF(NFI_Expiration=1,IF($A33&lt;VLOOKUP(L$5,NFI,5,0),1,0)*Data_NFI_t[[#This Row],[NFI Core Kit]],0)</f>
        <v>0</v>
      </c>
      <c r="AF33" s="710">
        <f>IF(NFI_Expiration=1,IF($A33&lt;VLOOKUP(M$5,NFI,5,0),1,0)*Data_NFI_t[[#This Row],[Sanitary Kit]],0)</f>
        <v>0</v>
      </c>
      <c r="AG33" s="1055">
        <f>IF(NFI_Expiration=1,IF($A33&lt;VLOOKUP(AC$5,NFI,5,0),1,0)*Data_NFI_t[[#This Row],[Rope]],0)</f>
        <v>0</v>
      </c>
      <c r="AH33" s="710">
        <f>IF(NFI_Expiration=1,IF($A33&lt;VLOOKUP(N$5,NFI,5,0),1,0)*Data_NFI_t[[#This Row],[Mosquito net]],0)</f>
        <v>0</v>
      </c>
      <c r="AI33" s="710">
        <f>IF(NFI_Expiration=1,IF($A33&lt;VLOOKUP(O$5,NFI,5,0),1,0)*Data_NFI_t[[#This Row],[Tarpaulin]],0)</f>
        <v>0</v>
      </c>
      <c r="AJ33" s="710">
        <f>IF(NFI_Expiration=1,IF($A33&lt;VLOOKUP(P$5,NFI,5,0),1,0)*Data_NFI_t[[#This Row],[Blanket]],0)</f>
        <v>0</v>
      </c>
      <c r="AK33" s="710">
        <f>IF(NFI_Expiration=1,IF($A33&lt;VLOOKUP(Q$5,NFI,5,0),1,0)*Data_NFI_t[[#This Row],[Kitchen Set]],0)</f>
        <v>0</v>
      </c>
      <c r="AL33" s="710">
        <f>IF(NFI_Expiration=1,IF($A33&lt;VLOOKUP(R$5,NFI,5,0),1,0)*Data_NFI_t[[#This Row],[Complementary Kit]],0)</f>
        <v>0</v>
      </c>
      <c r="AM33" s="710">
        <f>IF(NFI_Expiration=1,IF($A33&lt;VLOOKUP(S$5,NFI,5,0),1,0)*Data_NFI_t[[#This Row],[Plastic Bucket]],0)</f>
        <v>0</v>
      </c>
      <c r="AN33" s="709">
        <f>IF(NFI_Expiration=1,IF($A33&lt;VLOOKUP(T$5,NFI,5,0),1,0)*Data_NFI_t[[#This Row],[Jerry Can]],0)</f>
        <v>0</v>
      </c>
      <c r="AO33" s="709">
        <f>IF(NFI_Expiration=1,IF($A33&lt;VLOOKUP(U$5,NFI,5,0),1,0)*Data_NFI_t[[#This Row],[Plastic Mat]],0)*IF(Data_NFI_t[[#This Row],[Distribution Date]]&gt;"01-06-2015",1,2.5)</f>
        <v>0</v>
      </c>
      <c r="AP33" s="709">
        <f>IF(NFI_Expiration=1,IF($A33&lt;VLOOKUP(V$5,NFI,5,0),1,0)*Data_NFI_t[[#This Row],[Adult Clothes]],0)</f>
        <v>0</v>
      </c>
      <c r="AQ33" s="709">
        <f>IF(NFI_Expiration=1,IF($A33&lt;VLOOKUP(W$5,NFI,5,0),1,0)*Data_NFI_t[[#This Row],[Children Clothes]],0)</f>
        <v>397</v>
      </c>
      <c r="AR33" s="709">
        <f>IF(NFI_Expiration=1,IF($A33&lt;VLOOKUP(X$5,NFI,5,0),1,0)*Data_NFI_t[[#This Row],[Sewing Kit]],0)</f>
        <v>0</v>
      </c>
      <c r="AS33" s="709">
        <f>IF(NFI_Expiration=1,IF($A33&lt;VLOOKUP(X$5,NFI,5,0),1,0)*Data_NFI_t[[#This Row],[Solar Lantern]],0)</f>
        <v>0</v>
      </c>
      <c r="AT33" s="105" t="str">
        <f ca="1">IFERROR(OFFSET(Camp_List[P_Code],MATCH(Data_NFI_t[[#This Row],[Camp Name]],Camp_List[Camp Name],0)-1,0,1,1),"")</f>
        <v>MMR012CMP039</v>
      </c>
      <c r="AU33" s="412" t="str">
        <f ca="1">IFERROR(OFFSET(Camp_List[Status],MATCH(Data_NFI_t[[#This Row],[Camp Name]],Camp_List[Camp Name],0)-1,0,1,1),"")</f>
        <v>Open</v>
      </c>
      <c r="AV33" s="105"/>
      <c r="AY33" s="747"/>
    </row>
    <row r="34" spans="1:51" s="745" customFormat="1" ht="21" customHeight="1" x14ac:dyDescent="0.25">
      <c r="A34" s="948">
        <f t="shared" si="2"/>
        <v>6.6</v>
      </c>
      <c r="B34" s="949">
        <f>YEAR(Data_NFI_t[[#This Row],[Distribution Date]])</f>
        <v>2018</v>
      </c>
      <c r="C34" s="969">
        <v>43236</v>
      </c>
      <c r="D34" s="947" t="s">
        <v>273</v>
      </c>
      <c r="E34" s="947" t="s">
        <v>273</v>
      </c>
      <c r="F34" s="947" t="s">
        <v>7</v>
      </c>
      <c r="G34" s="951" t="s">
        <v>13</v>
      </c>
      <c r="H34" s="951" t="s">
        <v>40</v>
      </c>
      <c r="I34" s="714"/>
      <c r="J34" s="952">
        <v>138</v>
      </c>
      <c r="K34" s="952">
        <v>138</v>
      </c>
      <c r="L34" s="715"/>
      <c r="M34" s="715"/>
      <c r="N34" s="716"/>
      <c r="O34" s="716"/>
      <c r="P34" s="716"/>
      <c r="Q34" s="716"/>
      <c r="R34" s="716"/>
      <c r="S34" s="716"/>
      <c r="T34" s="717"/>
      <c r="U34" s="716"/>
      <c r="V34" s="970">
        <v>138</v>
      </c>
      <c r="W34" s="970">
        <v>53</v>
      </c>
      <c r="X34" s="716"/>
      <c r="Y34" s="716"/>
      <c r="Z34" s="716"/>
      <c r="AA34" s="716"/>
      <c r="AB34" s="716"/>
      <c r="AC34" s="716"/>
      <c r="AD34" s="709">
        <f>IF(NFI_Expiration=1,IF($A34&lt;VLOOKUP(I$5,NFI,5,0),1,0)*Data_NFI_t[[#This Row],[Hygiene Kit]],0)</f>
        <v>0</v>
      </c>
      <c r="AE34" s="709">
        <f>IF(NFI_Expiration=1,IF($A34&lt;VLOOKUP(L$5,NFI,5,0),1,0)*Data_NFI_t[[#This Row],[NFI Core Kit]],0)</f>
        <v>0</v>
      </c>
      <c r="AF34" s="710">
        <f>IF(NFI_Expiration=1,IF($A34&lt;VLOOKUP(M$5,NFI,5,0),1,0)*Data_NFI_t[[#This Row],[Sanitary Kit]],0)</f>
        <v>0</v>
      </c>
      <c r="AG34" s="1055">
        <f>IF(NFI_Expiration=1,IF($A34&lt;VLOOKUP(AC$5,NFI,5,0),1,0)*Data_NFI_t[[#This Row],[Rope]],0)</f>
        <v>0</v>
      </c>
      <c r="AH34" s="710">
        <f>IF(NFI_Expiration=1,IF($A34&lt;VLOOKUP(N$5,NFI,5,0),1,0)*Data_NFI_t[[#This Row],[Mosquito net]],0)</f>
        <v>0</v>
      </c>
      <c r="AI34" s="710">
        <f>IF(NFI_Expiration=1,IF($A34&lt;VLOOKUP(O$5,NFI,5,0),1,0)*Data_NFI_t[[#This Row],[Tarpaulin]],0)</f>
        <v>0</v>
      </c>
      <c r="AJ34" s="710">
        <f>IF(NFI_Expiration=1,IF($A34&lt;VLOOKUP(P$5,NFI,5,0),1,0)*Data_NFI_t[[#This Row],[Blanket]],0)</f>
        <v>0</v>
      </c>
      <c r="AK34" s="710">
        <f>IF(NFI_Expiration=1,IF($A34&lt;VLOOKUP(Q$5,NFI,5,0),1,0)*Data_NFI_t[[#This Row],[Kitchen Set]],0)</f>
        <v>0</v>
      </c>
      <c r="AL34" s="710">
        <f>IF(NFI_Expiration=1,IF($A34&lt;VLOOKUP(R$5,NFI,5,0),1,0)*Data_NFI_t[[#This Row],[Complementary Kit]],0)</f>
        <v>0</v>
      </c>
      <c r="AM34" s="710">
        <f>IF(NFI_Expiration=1,IF($A34&lt;VLOOKUP(S$5,NFI,5,0),1,0)*Data_NFI_t[[#This Row],[Plastic Bucket]],0)</f>
        <v>0</v>
      </c>
      <c r="AN34" s="709">
        <f>IF(NFI_Expiration=1,IF($A34&lt;VLOOKUP(T$5,NFI,5,0),1,0)*Data_NFI_t[[#This Row],[Jerry Can]],0)</f>
        <v>0</v>
      </c>
      <c r="AO34" s="709">
        <f>IF(NFI_Expiration=1,IF($A34&lt;VLOOKUP(U$5,NFI,5,0),1,0)*Data_NFI_t[[#This Row],[Plastic Mat]],0)*IF(Data_NFI_t[[#This Row],[Distribution Date]]&gt;"01-06-2015",1,2.5)</f>
        <v>0</v>
      </c>
      <c r="AP34" s="709">
        <f>IF(NFI_Expiration=1,IF($A34&lt;VLOOKUP(V$5,NFI,5,0),1,0)*Data_NFI_t[[#This Row],[Adult Clothes]],0)</f>
        <v>138</v>
      </c>
      <c r="AQ34" s="709">
        <f>IF(NFI_Expiration=1,IF($A34&lt;VLOOKUP(W$5,NFI,5,0),1,0)*Data_NFI_t[[#This Row],[Children Clothes]],0)</f>
        <v>53</v>
      </c>
      <c r="AR34" s="709">
        <f>IF(NFI_Expiration=1,IF($A34&lt;VLOOKUP(X$5,NFI,5,0),1,0)*Data_NFI_t[[#This Row],[Sewing Kit]],0)</f>
        <v>0</v>
      </c>
      <c r="AS34" s="709">
        <f>IF(NFI_Expiration=1,IF($A34&lt;VLOOKUP(X$5,NFI,5,0),1,0)*Data_NFI_t[[#This Row],[Solar Lantern]],0)</f>
        <v>0</v>
      </c>
      <c r="AT34" s="105" t="str">
        <f ca="1">IFERROR(OFFSET(Camp_List[P_Code],MATCH(Data_NFI_t[[#This Row],[Camp Name]],Camp_List[Camp Name],0)-1,0,1,1),"")</f>
        <v>MMR012CMP018</v>
      </c>
      <c r="AU34" s="412" t="str">
        <f ca="1">IFERROR(OFFSET(Camp_List[Status],MATCH(Data_NFI_t[[#This Row],[Camp Name]],Camp_List[Camp Name],0)-1,0,1,1),"")</f>
        <v>Open</v>
      </c>
      <c r="AV34" s="105"/>
      <c r="AY34" s="747"/>
    </row>
    <row r="35" spans="1:51" s="745" customFormat="1" ht="21" customHeight="1" x14ac:dyDescent="0.25">
      <c r="A35" s="948">
        <f t="shared" si="2"/>
        <v>6.833333333333333</v>
      </c>
      <c r="B35" s="949">
        <f>YEAR(Data_NFI_t[[#This Row],[Distribution Date]])</f>
        <v>2018</v>
      </c>
      <c r="C35" s="969">
        <v>43229</v>
      </c>
      <c r="D35" s="947" t="s">
        <v>273</v>
      </c>
      <c r="E35" s="947" t="s">
        <v>273</v>
      </c>
      <c r="F35" s="947" t="s">
        <v>7</v>
      </c>
      <c r="G35" s="951" t="s">
        <v>17</v>
      </c>
      <c r="H35" s="951" t="s">
        <v>65</v>
      </c>
      <c r="I35" s="714"/>
      <c r="J35" s="952">
        <v>83</v>
      </c>
      <c r="K35" s="952">
        <v>83</v>
      </c>
      <c r="L35" s="715"/>
      <c r="M35" s="715"/>
      <c r="N35" s="716"/>
      <c r="O35" s="716"/>
      <c r="P35" s="716"/>
      <c r="Q35" s="716"/>
      <c r="R35" s="716"/>
      <c r="S35" s="716"/>
      <c r="T35" s="717"/>
      <c r="U35" s="716"/>
      <c r="V35" s="970">
        <v>83</v>
      </c>
      <c r="W35" s="970">
        <v>42</v>
      </c>
      <c r="X35" s="716"/>
      <c r="Y35" s="716"/>
      <c r="Z35" s="716"/>
      <c r="AA35" s="716"/>
      <c r="AB35" s="716"/>
      <c r="AC35" s="716"/>
      <c r="AD35" s="709">
        <f>IF(NFI_Expiration=1,IF($A35&lt;VLOOKUP(I$5,NFI,5,0),1,0)*Data_NFI_t[[#This Row],[Hygiene Kit]],0)</f>
        <v>0</v>
      </c>
      <c r="AE35" s="709">
        <f>IF(NFI_Expiration=1,IF($A35&lt;VLOOKUP(L$5,NFI,5,0),1,0)*Data_NFI_t[[#This Row],[NFI Core Kit]],0)</f>
        <v>0</v>
      </c>
      <c r="AF35" s="710">
        <f>IF(NFI_Expiration=1,IF($A35&lt;VLOOKUP(M$5,NFI,5,0),1,0)*Data_NFI_t[[#This Row],[Sanitary Kit]],0)</f>
        <v>0</v>
      </c>
      <c r="AG35" s="1055">
        <f>IF(NFI_Expiration=1,IF($A35&lt;VLOOKUP(AC$5,NFI,5,0),1,0)*Data_NFI_t[[#This Row],[Rope]],0)</f>
        <v>0</v>
      </c>
      <c r="AH35" s="710">
        <f>IF(NFI_Expiration=1,IF($A35&lt;VLOOKUP(N$5,NFI,5,0),1,0)*Data_NFI_t[[#This Row],[Mosquito net]],0)</f>
        <v>0</v>
      </c>
      <c r="AI35" s="710">
        <f>IF(NFI_Expiration=1,IF($A35&lt;VLOOKUP(O$5,NFI,5,0),1,0)*Data_NFI_t[[#This Row],[Tarpaulin]],0)</f>
        <v>0</v>
      </c>
      <c r="AJ35" s="710">
        <f>IF(NFI_Expiration=1,IF($A35&lt;VLOOKUP(P$5,NFI,5,0),1,0)*Data_NFI_t[[#This Row],[Blanket]],0)</f>
        <v>0</v>
      </c>
      <c r="AK35" s="710">
        <f>IF(NFI_Expiration=1,IF($A35&lt;VLOOKUP(Q$5,NFI,5,0),1,0)*Data_NFI_t[[#This Row],[Kitchen Set]],0)</f>
        <v>0</v>
      </c>
      <c r="AL35" s="710">
        <f>IF(NFI_Expiration=1,IF($A35&lt;VLOOKUP(R$5,NFI,5,0),1,0)*Data_NFI_t[[#This Row],[Complementary Kit]],0)</f>
        <v>0</v>
      </c>
      <c r="AM35" s="710">
        <f>IF(NFI_Expiration=1,IF($A35&lt;VLOOKUP(S$5,NFI,5,0),1,0)*Data_NFI_t[[#This Row],[Plastic Bucket]],0)</f>
        <v>0</v>
      </c>
      <c r="AN35" s="709">
        <f>IF(NFI_Expiration=1,IF($A35&lt;VLOOKUP(T$5,NFI,5,0),1,0)*Data_NFI_t[[#This Row],[Jerry Can]],0)</f>
        <v>0</v>
      </c>
      <c r="AO35" s="709">
        <f>IF(NFI_Expiration=1,IF($A35&lt;VLOOKUP(U$5,NFI,5,0),1,0)*Data_NFI_t[[#This Row],[Plastic Mat]],0)*IF(Data_NFI_t[[#This Row],[Distribution Date]]&gt;"01-06-2015",1,2.5)</f>
        <v>0</v>
      </c>
      <c r="AP35" s="709">
        <f>IF(NFI_Expiration=1,IF($A35&lt;VLOOKUP(V$5,NFI,5,0),1,0)*Data_NFI_t[[#This Row],[Adult Clothes]],0)</f>
        <v>83</v>
      </c>
      <c r="AQ35" s="709">
        <f>IF(NFI_Expiration=1,IF($A35&lt;VLOOKUP(W$5,NFI,5,0),1,0)*Data_NFI_t[[#This Row],[Children Clothes]],0)</f>
        <v>42</v>
      </c>
      <c r="AR35" s="709">
        <f>IF(NFI_Expiration=1,IF($A35&lt;VLOOKUP(X$5,NFI,5,0),1,0)*Data_NFI_t[[#This Row],[Sewing Kit]],0)</f>
        <v>0</v>
      </c>
      <c r="AS35" s="709">
        <f>IF(NFI_Expiration=1,IF($A35&lt;VLOOKUP(X$5,NFI,5,0),1,0)*Data_NFI_t[[#This Row],[Solar Lantern]],0)</f>
        <v>0</v>
      </c>
      <c r="AT35" s="105" t="str">
        <f ca="1">IFERROR(OFFSET(Camp_List[P_Code],MATCH(Data_NFI_t[[#This Row],[Camp Name]],Camp_List[Camp Name],0)-1,0,1,1),"")</f>
        <v>MMR012CMP045</v>
      </c>
      <c r="AU35" s="412" t="str">
        <f ca="1">IFERROR(OFFSET(Camp_List[Status],MATCH(Data_NFI_t[[#This Row],[Camp Name]],Camp_List[Camp Name],0)-1,0,1,1),"")</f>
        <v>Open</v>
      </c>
      <c r="AV35" s="105"/>
      <c r="AY35" s="747"/>
    </row>
    <row r="36" spans="1:51" s="745" customFormat="1" ht="21" customHeight="1" x14ac:dyDescent="0.25">
      <c r="A36" s="948">
        <f t="shared" si="2"/>
        <v>6.833333333333333</v>
      </c>
      <c r="B36" s="949">
        <f>YEAR(Data_NFI_t[[#This Row],[Distribution Date]])</f>
        <v>2018</v>
      </c>
      <c r="C36" s="969">
        <v>43229</v>
      </c>
      <c r="D36" s="947" t="s">
        <v>273</v>
      </c>
      <c r="E36" s="947" t="s">
        <v>273</v>
      </c>
      <c r="F36" s="947" t="s">
        <v>7</v>
      </c>
      <c r="G36" s="951" t="s">
        <v>17</v>
      </c>
      <c r="H36" s="951" t="s">
        <v>586</v>
      </c>
      <c r="I36" s="714"/>
      <c r="J36" s="952">
        <v>215</v>
      </c>
      <c r="K36" s="952">
        <v>215</v>
      </c>
      <c r="L36" s="715"/>
      <c r="M36" s="715"/>
      <c r="N36" s="716"/>
      <c r="O36" s="716"/>
      <c r="P36" s="716"/>
      <c r="Q36" s="716"/>
      <c r="R36" s="716"/>
      <c r="S36" s="716"/>
      <c r="T36" s="717"/>
      <c r="U36" s="716"/>
      <c r="V36" s="970">
        <v>215</v>
      </c>
      <c r="W36" s="970">
        <v>55</v>
      </c>
      <c r="X36" s="716"/>
      <c r="Y36" s="716"/>
      <c r="Z36" s="716"/>
      <c r="AA36" s="716"/>
      <c r="AB36" s="716"/>
      <c r="AC36" s="716"/>
      <c r="AD36" s="709">
        <f>IF(NFI_Expiration=1,IF($A36&lt;VLOOKUP(I$5,NFI,5,0),1,0)*Data_NFI_t[[#This Row],[Hygiene Kit]],0)</f>
        <v>0</v>
      </c>
      <c r="AE36" s="709">
        <f>IF(NFI_Expiration=1,IF($A36&lt;VLOOKUP(L$5,NFI,5,0),1,0)*Data_NFI_t[[#This Row],[NFI Core Kit]],0)</f>
        <v>0</v>
      </c>
      <c r="AF36" s="710">
        <f>IF(NFI_Expiration=1,IF($A36&lt;VLOOKUP(M$5,NFI,5,0),1,0)*Data_NFI_t[[#This Row],[Sanitary Kit]],0)</f>
        <v>0</v>
      </c>
      <c r="AG36" s="1055">
        <f>IF(NFI_Expiration=1,IF($A36&lt;VLOOKUP(AC$5,NFI,5,0),1,0)*Data_NFI_t[[#This Row],[Rope]],0)</f>
        <v>0</v>
      </c>
      <c r="AH36" s="710">
        <f>IF(NFI_Expiration=1,IF($A36&lt;VLOOKUP(N$5,NFI,5,0),1,0)*Data_NFI_t[[#This Row],[Mosquito net]],0)</f>
        <v>0</v>
      </c>
      <c r="AI36" s="710">
        <f>IF(NFI_Expiration=1,IF($A36&lt;VLOOKUP(O$5,NFI,5,0),1,0)*Data_NFI_t[[#This Row],[Tarpaulin]],0)</f>
        <v>0</v>
      </c>
      <c r="AJ36" s="710">
        <f>IF(NFI_Expiration=1,IF($A36&lt;VLOOKUP(P$5,NFI,5,0),1,0)*Data_NFI_t[[#This Row],[Blanket]],0)</f>
        <v>0</v>
      </c>
      <c r="AK36" s="710">
        <f>IF(NFI_Expiration=1,IF($A36&lt;VLOOKUP(Q$5,NFI,5,0),1,0)*Data_NFI_t[[#This Row],[Kitchen Set]],0)</f>
        <v>0</v>
      </c>
      <c r="AL36" s="710">
        <f>IF(NFI_Expiration=1,IF($A36&lt;VLOOKUP(R$5,NFI,5,0),1,0)*Data_NFI_t[[#This Row],[Complementary Kit]],0)</f>
        <v>0</v>
      </c>
      <c r="AM36" s="710">
        <f>IF(NFI_Expiration=1,IF($A36&lt;VLOOKUP(S$5,NFI,5,0),1,0)*Data_NFI_t[[#This Row],[Plastic Bucket]],0)</f>
        <v>0</v>
      </c>
      <c r="AN36" s="709">
        <f>IF(NFI_Expiration=1,IF($A36&lt;VLOOKUP(T$5,NFI,5,0),1,0)*Data_NFI_t[[#This Row],[Jerry Can]],0)</f>
        <v>0</v>
      </c>
      <c r="AO36" s="709">
        <f>IF(NFI_Expiration=1,IF($A36&lt;VLOOKUP(U$5,NFI,5,0),1,0)*Data_NFI_t[[#This Row],[Plastic Mat]],0)*IF(Data_NFI_t[[#This Row],[Distribution Date]]&gt;"01-06-2015",1,2.5)</f>
        <v>0</v>
      </c>
      <c r="AP36" s="709">
        <f>IF(NFI_Expiration=1,IF($A36&lt;VLOOKUP(V$5,NFI,5,0),1,0)*Data_NFI_t[[#This Row],[Adult Clothes]],0)</f>
        <v>215</v>
      </c>
      <c r="AQ36" s="709">
        <f>IF(NFI_Expiration=1,IF($A36&lt;VLOOKUP(W$5,NFI,5,0),1,0)*Data_NFI_t[[#This Row],[Children Clothes]],0)</f>
        <v>55</v>
      </c>
      <c r="AR36" s="709">
        <f>IF(NFI_Expiration=1,IF($A36&lt;VLOOKUP(X$5,NFI,5,0),1,0)*Data_NFI_t[[#This Row],[Sewing Kit]],0)</f>
        <v>0</v>
      </c>
      <c r="AS36" s="709">
        <f>IF(NFI_Expiration=1,IF($A36&lt;VLOOKUP(X$5,NFI,5,0),1,0)*Data_NFI_t[[#This Row],[Solar Lantern]],0)</f>
        <v>0</v>
      </c>
      <c r="AT36" s="105" t="str">
        <f ca="1">IFERROR(OFFSET(Camp_List[P_Code],MATCH(Data_NFI_t[[#This Row],[Camp Name]],Camp_List[Camp Name],0)-1,0,1,1),"")</f>
        <v>MMR012CMP115</v>
      </c>
      <c r="AU36" s="412" t="str">
        <f ca="1">IFERROR(OFFSET(Camp_List[Status],MATCH(Data_NFI_t[[#This Row],[Camp Name]],Camp_List[Camp Name],0)-1,0,1,1),"")</f>
        <v>Open</v>
      </c>
      <c r="AV36" s="105"/>
      <c r="AY36" s="747"/>
    </row>
    <row r="37" spans="1:51" s="745" customFormat="1" ht="21" customHeight="1" x14ac:dyDescent="0.25">
      <c r="A37" s="948">
        <f t="shared" si="2"/>
        <v>6.833333333333333</v>
      </c>
      <c r="B37" s="949">
        <f>YEAR(Data_NFI_t[[#This Row],[Distribution Date]])</f>
        <v>2018</v>
      </c>
      <c r="C37" s="969">
        <v>43229</v>
      </c>
      <c r="D37" s="947" t="s">
        <v>273</v>
      </c>
      <c r="E37" s="947" t="s">
        <v>273</v>
      </c>
      <c r="F37" s="947" t="s">
        <v>7</v>
      </c>
      <c r="G37" s="951" t="s">
        <v>17</v>
      </c>
      <c r="H37" s="951" t="s">
        <v>585</v>
      </c>
      <c r="I37" s="714"/>
      <c r="J37" s="952">
        <v>47</v>
      </c>
      <c r="K37" s="952">
        <v>47</v>
      </c>
      <c r="L37" s="715"/>
      <c r="M37" s="715"/>
      <c r="N37" s="716"/>
      <c r="O37" s="716"/>
      <c r="P37" s="716"/>
      <c r="Q37" s="716"/>
      <c r="R37" s="716"/>
      <c r="S37" s="716"/>
      <c r="T37" s="717"/>
      <c r="U37" s="716"/>
      <c r="V37" s="970">
        <v>47</v>
      </c>
      <c r="W37" s="970">
        <v>22</v>
      </c>
      <c r="X37" s="716"/>
      <c r="Y37" s="716"/>
      <c r="Z37" s="716"/>
      <c r="AA37" s="716"/>
      <c r="AB37" s="716"/>
      <c r="AC37" s="716"/>
      <c r="AD37" s="709">
        <f>IF(NFI_Expiration=1,IF($A37&lt;VLOOKUP(I$5,NFI,5,0),1,0)*Data_NFI_t[[#This Row],[Hygiene Kit]],0)</f>
        <v>0</v>
      </c>
      <c r="AE37" s="709">
        <f>IF(NFI_Expiration=1,IF($A37&lt;VLOOKUP(L$5,NFI,5,0),1,0)*Data_NFI_t[[#This Row],[NFI Core Kit]],0)</f>
        <v>0</v>
      </c>
      <c r="AF37" s="710">
        <f>IF(NFI_Expiration=1,IF($A37&lt;VLOOKUP(M$5,NFI,5,0),1,0)*Data_NFI_t[[#This Row],[Sanitary Kit]],0)</f>
        <v>0</v>
      </c>
      <c r="AG37" s="1055">
        <f>IF(NFI_Expiration=1,IF($A37&lt;VLOOKUP(AC$5,NFI,5,0),1,0)*Data_NFI_t[[#This Row],[Rope]],0)</f>
        <v>0</v>
      </c>
      <c r="AH37" s="710">
        <f>IF(NFI_Expiration=1,IF($A37&lt;VLOOKUP(N$5,NFI,5,0),1,0)*Data_NFI_t[[#This Row],[Mosquito net]],0)</f>
        <v>0</v>
      </c>
      <c r="AI37" s="710">
        <f>IF(NFI_Expiration=1,IF($A37&lt;VLOOKUP(O$5,NFI,5,0),1,0)*Data_NFI_t[[#This Row],[Tarpaulin]],0)</f>
        <v>0</v>
      </c>
      <c r="AJ37" s="710">
        <f>IF(NFI_Expiration=1,IF($A37&lt;VLOOKUP(P$5,NFI,5,0),1,0)*Data_NFI_t[[#This Row],[Blanket]],0)</f>
        <v>0</v>
      </c>
      <c r="AK37" s="710">
        <f>IF(NFI_Expiration=1,IF($A37&lt;VLOOKUP(Q$5,NFI,5,0),1,0)*Data_NFI_t[[#This Row],[Kitchen Set]],0)</f>
        <v>0</v>
      </c>
      <c r="AL37" s="710">
        <f>IF(NFI_Expiration=1,IF($A37&lt;VLOOKUP(R$5,NFI,5,0),1,0)*Data_NFI_t[[#This Row],[Complementary Kit]],0)</f>
        <v>0</v>
      </c>
      <c r="AM37" s="710">
        <f>IF(NFI_Expiration=1,IF($A37&lt;VLOOKUP(S$5,NFI,5,0),1,0)*Data_NFI_t[[#This Row],[Plastic Bucket]],0)</f>
        <v>0</v>
      </c>
      <c r="AN37" s="709">
        <f>IF(NFI_Expiration=1,IF($A37&lt;VLOOKUP(T$5,NFI,5,0),1,0)*Data_NFI_t[[#This Row],[Jerry Can]],0)</f>
        <v>0</v>
      </c>
      <c r="AO37" s="709">
        <f>IF(NFI_Expiration=1,IF($A37&lt;VLOOKUP(U$5,NFI,5,0),1,0)*Data_NFI_t[[#This Row],[Plastic Mat]],0)*IF(Data_NFI_t[[#This Row],[Distribution Date]]&gt;"01-06-2015",1,2.5)</f>
        <v>0</v>
      </c>
      <c r="AP37" s="709">
        <f>IF(NFI_Expiration=1,IF($A37&lt;VLOOKUP(V$5,NFI,5,0),1,0)*Data_NFI_t[[#This Row],[Adult Clothes]],0)</f>
        <v>47</v>
      </c>
      <c r="AQ37" s="709">
        <f>IF(NFI_Expiration=1,IF($A37&lt;VLOOKUP(W$5,NFI,5,0),1,0)*Data_NFI_t[[#This Row],[Children Clothes]],0)</f>
        <v>22</v>
      </c>
      <c r="AR37" s="709">
        <f>IF(NFI_Expiration=1,IF($A37&lt;VLOOKUP(X$5,NFI,5,0),1,0)*Data_NFI_t[[#This Row],[Sewing Kit]],0)</f>
        <v>0</v>
      </c>
      <c r="AS37" s="709">
        <f>IF(NFI_Expiration=1,IF($A37&lt;VLOOKUP(X$5,NFI,5,0),1,0)*Data_NFI_t[[#This Row],[Solar Lantern]],0)</f>
        <v>0</v>
      </c>
      <c r="AT37" s="105" t="str">
        <f ca="1">IFERROR(OFFSET(Camp_List[P_Code],MATCH(Data_NFI_t[[#This Row],[Camp Name]],Camp_List[Camp Name],0)-1,0,1,1),"")</f>
        <v>MMR012CMP098</v>
      </c>
      <c r="AU37" s="412" t="str">
        <f ca="1">IFERROR(OFFSET(Camp_List[Status],MATCH(Data_NFI_t[[#This Row],[Camp Name]],Camp_List[Camp Name],0)-1,0,1,1),"")</f>
        <v>Open</v>
      </c>
      <c r="AV37" s="105"/>
      <c r="AY37" s="747"/>
    </row>
    <row r="38" spans="1:51" s="745" customFormat="1" ht="21" customHeight="1" x14ac:dyDescent="0.25">
      <c r="A38" s="948">
        <f t="shared" si="2"/>
        <v>6.833333333333333</v>
      </c>
      <c r="B38" s="949">
        <f>YEAR(Data_NFI_t[[#This Row],[Distribution Date]])</f>
        <v>2018</v>
      </c>
      <c r="C38" s="969">
        <v>43229</v>
      </c>
      <c r="D38" s="947" t="s">
        <v>273</v>
      </c>
      <c r="E38" s="947" t="s">
        <v>273</v>
      </c>
      <c r="F38" s="947" t="s">
        <v>7</v>
      </c>
      <c r="G38" s="951" t="s">
        <v>17</v>
      </c>
      <c r="H38" s="951" t="s">
        <v>61</v>
      </c>
      <c r="I38" s="714"/>
      <c r="J38" s="952">
        <v>103</v>
      </c>
      <c r="K38" s="952">
        <v>103</v>
      </c>
      <c r="L38" s="715"/>
      <c r="M38" s="715"/>
      <c r="N38" s="716"/>
      <c r="O38" s="716"/>
      <c r="P38" s="716"/>
      <c r="Q38" s="716"/>
      <c r="R38" s="716"/>
      <c r="S38" s="716"/>
      <c r="T38" s="717"/>
      <c r="U38" s="716"/>
      <c r="V38" s="970">
        <v>103</v>
      </c>
      <c r="W38" s="970">
        <v>34</v>
      </c>
      <c r="X38" s="716"/>
      <c r="Y38" s="716"/>
      <c r="Z38" s="716"/>
      <c r="AA38" s="716"/>
      <c r="AB38" s="716"/>
      <c r="AC38" s="716"/>
      <c r="AD38" s="709">
        <f>IF(NFI_Expiration=1,IF($A38&lt;VLOOKUP(I$5,NFI,5,0),1,0)*Data_NFI_t[[#This Row],[Hygiene Kit]],0)</f>
        <v>0</v>
      </c>
      <c r="AE38" s="709">
        <f>IF(NFI_Expiration=1,IF($A38&lt;VLOOKUP(L$5,NFI,5,0),1,0)*Data_NFI_t[[#This Row],[NFI Core Kit]],0)</f>
        <v>0</v>
      </c>
      <c r="AF38" s="710">
        <f>IF(NFI_Expiration=1,IF($A38&lt;VLOOKUP(M$5,NFI,5,0),1,0)*Data_NFI_t[[#This Row],[Sanitary Kit]],0)</f>
        <v>0</v>
      </c>
      <c r="AG38" s="1055">
        <f>IF(NFI_Expiration=1,IF($A38&lt;VLOOKUP(AC$5,NFI,5,0),1,0)*Data_NFI_t[[#This Row],[Rope]],0)</f>
        <v>0</v>
      </c>
      <c r="AH38" s="710">
        <f>IF(NFI_Expiration=1,IF($A38&lt;VLOOKUP(N$5,NFI,5,0),1,0)*Data_NFI_t[[#This Row],[Mosquito net]],0)</f>
        <v>0</v>
      </c>
      <c r="AI38" s="710">
        <f>IF(NFI_Expiration=1,IF($A38&lt;VLOOKUP(O$5,NFI,5,0),1,0)*Data_NFI_t[[#This Row],[Tarpaulin]],0)</f>
        <v>0</v>
      </c>
      <c r="AJ38" s="710">
        <f>IF(NFI_Expiration=1,IF($A38&lt;VLOOKUP(P$5,NFI,5,0),1,0)*Data_NFI_t[[#This Row],[Blanket]],0)</f>
        <v>0</v>
      </c>
      <c r="AK38" s="710">
        <f>IF(NFI_Expiration=1,IF($A38&lt;VLOOKUP(Q$5,NFI,5,0),1,0)*Data_NFI_t[[#This Row],[Kitchen Set]],0)</f>
        <v>0</v>
      </c>
      <c r="AL38" s="710">
        <f>IF(NFI_Expiration=1,IF($A38&lt;VLOOKUP(R$5,NFI,5,0),1,0)*Data_NFI_t[[#This Row],[Complementary Kit]],0)</f>
        <v>0</v>
      </c>
      <c r="AM38" s="710">
        <f>IF(NFI_Expiration=1,IF($A38&lt;VLOOKUP(S$5,NFI,5,0),1,0)*Data_NFI_t[[#This Row],[Plastic Bucket]],0)</f>
        <v>0</v>
      </c>
      <c r="AN38" s="709">
        <f>IF(NFI_Expiration=1,IF($A38&lt;VLOOKUP(T$5,NFI,5,0),1,0)*Data_NFI_t[[#This Row],[Jerry Can]],0)</f>
        <v>0</v>
      </c>
      <c r="AO38" s="709">
        <f>IF(NFI_Expiration=1,IF($A38&lt;VLOOKUP(U$5,NFI,5,0),1,0)*Data_NFI_t[[#This Row],[Plastic Mat]],0)*IF(Data_NFI_t[[#This Row],[Distribution Date]]&gt;"01-06-2015",1,2.5)</f>
        <v>0</v>
      </c>
      <c r="AP38" s="709">
        <f>IF(NFI_Expiration=1,IF($A38&lt;VLOOKUP(V$5,NFI,5,0),1,0)*Data_NFI_t[[#This Row],[Adult Clothes]],0)</f>
        <v>103</v>
      </c>
      <c r="AQ38" s="709">
        <f>IF(NFI_Expiration=1,IF($A38&lt;VLOOKUP(W$5,NFI,5,0),1,0)*Data_NFI_t[[#This Row],[Children Clothes]],0)</f>
        <v>34</v>
      </c>
      <c r="AR38" s="709">
        <f>IF(NFI_Expiration=1,IF($A38&lt;VLOOKUP(X$5,NFI,5,0),1,0)*Data_NFI_t[[#This Row],[Sewing Kit]],0)</f>
        <v>0</v>
      </c>
      <c r="AS38" s="709">
        <f>IF(NFI_Expiration=1,IF($A38&lt;VLOOKUP(X$5,NFI,5,0),1,0)*Data_NFI_t[[#This Row],[Solar Lantern]],0)</f>
        <v>0</v>
      </c>
      <c r="AT38" s="105" t="str">
        <f ca="1">IFERROR(OFFSET(Camp_List[P_Code],MATCH(Data_NFI_t[[#This Row],[Camp Name]],Camp_List[Camp Name],0)-1,0,1,1),"")</f>
        <v>MMR012CMP041</v>
      </c>
      <c r="AU38" s="412" t="str">
        <f ca="1">IFERROR(OFFSET(Camp_List[Status],MATCH(Data_NFI_t[[#This Row],[Camp Name]],Camp_List[Camp Name],0)-1,0,1,1),"")</f>
        <v>Open</v>
      </c>
      <c r="AV38" s="105"/>
      <c r="AY38" s="747"/>
    </row>
    <row r="39" spans="1:51" s="745" customFormat="1" ht="21" customHeight="1" x14ac:dyDescent="0.25">
      <c r="A39" s="948">
        <f t="shared" si="2"/>
        <v>6.833333333333333</v>
      </c>
      <c r="B39" s="949">
        <f>YEAR(Data_NFI_t[[#This Row],[Distribution Date]])</f>
        <v>2018</v>
      </c>
      <c r="C39" s="969">
        <v>43229</v>
      </c>
      <c r="D39" s="947" t="s">
        <v>273</v>
      </c>
      <c r="E39" s="947" t="s">
        <v>273</v>
      </c>
      <c r="F39" s="947" t="s">
        <v>7</v>
      </c>
      <c r="G39" s="951" t="s">
        <v>17</v>
      </c>
      <c r="H39" s="951" t="s">
        <v>581</v>
      </c>
      <c r="I39" s="714"/>
      <c r="J39" s="952">
        <v>67</v>
      </c>
      <c r="K39" s="952">
        <v>67</v>
      </c>
      <c r="L39" s="715"/>
      <c r="M39" s="715"/>
      <c r="N39" s="716"/>
      <c r="O39" s="716"/>
      <c r="P39" s="716"/>
      <c r="Q39" s="716"/>
      <c r="R39" s="716"/>
      <c r="S39" s="716"/>
      <c r="T39" s="717"/>
      <c r="U39" s="716"/>
      <c r="V39" s="970">
        <v>67</v>
      </c>
      <c r="W39" s="970">
        <v>12</v>
      </c>
      <c r="X39" s="716"/>
      <c r="Y39" s="716"/>
      <c r="Z39" s="716"/>
      <c r="AA39" s="716"/>
      <c r="AB39" s="716"/>
      <c r="AC39" s="716"/>
      <c r="AD39" s="709">
        <f>IF(NFI_Expiration=1,IF($A39&lt;VLOOKUP(I$5,NFI,5,0),1,0)*Data_NFI_t[[#This Row],[Hygiene Kit]],0)</f>
        <v>0</v>
      </c>
      <c r="AE39" s="709">
        <f>IF(NFI_Expiration=1,IF($A39&lt;VLOOKUP(L$5,NFI,5,0),1,0)*Data_NFI_t[[#This Row],[NFI Core Kit]],0)</f>
        <v>0</v>
      </c>
      <c r="AF39" s="710">
        <f>IF(NFI_Expiration=1,IF($A39&lt;VLOOKUP(M$5,NFI,5,0),1,0)*Data_NFI_t[[#This Row],[Sanitary Kit]],0)</f>
        <v>0</v>
      </c>
      <c r="AG39" s="1055">
        <f>IF(NFI_Expiration=1,IF($A39&lt;VLOOKUP(AC$5,NFI,5,0),1,0)*Data_NFI_t[[#This Row],[Rope]],0)</f>
        <v>0</v>
      </c>
      <c r="AH39" s="710">
        <f>IF(NFI_Expiration=1,IF($A39&lt;VLOOKUP(N$5,NFI,5,0),1,0)*Data_NFI_t[[#This Row],[Mosquito net]],0)</f>
        <v>0</v>
      </c>
      <c r="AI39" s="710">
        <f>IF(NFI_Expiration=1,IF($A39&lt;VLOOKUP(O$5,NFI,5,0),1,0)*Data_NFI_t[[#This Row],[Tarpaulin]],0)</f>
        <v>0</v>
      </c>
      <c r="AJ39" s="710">
        <f>IF(NFI_Expiration=1,IF($A39&lt;VLOOKUP(P$5,NFI,5,0),1,0)*Data_NFI_t[[#This Row],[Blanket]],0)</f>
        <v>0</v>
      </c>
      <c r="AK39" s="710">
        <f>IF(NFI_Expiration=1,IF($A39&lt;VLOOKUP(Q$5,NFI,5,0),1,0)*Data_NFI_t[[#This Row],[Kitchen Set]],0)</f>
        <v>0</v>
      </c>
      <c r="AL39" s="710">
        <f>IF(NFI_Expiration=1,IF($A39&lt;VLOOKUP(R$5,NFI,5,0),1,0)*Data_NFI_t[[#This Row],[Complementary Kit]],0)</f>
        <v>0</v>
      </c>
      <c r="AM39" s="710">
        <f>IF(NFI_Expiration=1,IF($A39&lt;VLOOKUP(S$5,NFI,5,0),1,0)*Data_NFI_t[[#This Row],[Plastic Bucket]],0)</f>
        <v>0</v>
      </c>
      <c r="AN39" s="709">
        <f>IF(NFI_Expiration=1,IF($A39&lt;VLOOKUP(T$5,NFI,5,0),1,0)*Data_NFI_t[[#This Row],[Jerry Can]],0)</f>
        <v>0</v>
      </c>
      <c r="AO39" s="709">
        <f>IF(NFI_Expiration=1,IF($A39&lt;VLOOKUP(U$5,NFI,5,0),1,0)*Data_NFI_t[[#This Row],[Plastic Mat]],0)*IF(Data_NFI_t[[#This Row],[Distribution Date]]&gt;"01-06-2015",1,2.5)</f>
        <v>0</v>
      </c>
      <c r="AP39" s="709">
        <f>IF(NFI_Expiration=1,IF($A39&lt;VLOOKUP(V$5,NFI,5,0),1,0)*Data_NFI_t[[#This Row],[Adult Clothes]],0)</f>
        <v>67</v>
      </c>
      <c r="AQ39" s="709">
        <f>IF(NFI_Expiration=1,IF($A39&lt;VLOOKUP(W$5,NFI,5,0),1,0)*Data_NFI_t[[#This Row],[Children Clothes]],0)</f>
        <v>12</v>
      </c>
      <c r="AR39" s="709">
        <f>IF(NFI_Expiration=1,IF($A39&lt;VLOOKUP(X$5,NFI,5,0),1,0)*Data_NFI_t[[#This Row],[Sewing Kit]],0)</f>
        <v>0</v>
      </c>
      <c r="AS39" s="709">
        <f>IF(NFI_Expiration=1,IF($A39&lt;VLOOKUP(X$5,NFI,5,0),1,0)*Data_NFI_t[[#This Row],[Solar Lantern]],0)</f>
        <v>0</v>
      </c>
      <c r="AT39" s="105" t="str">
        <f ca="1">IFERROR(OFFSET(Camp_List[P_Code],MATCH(Data_NFI_t[[#This Row],[Camp Name]],Camp_List[Camp Name],0)-1,0,1,1),"")</f>
        <v>MMR012CMP113</v>
      </c>
      <c r="AU39" s="412" t="str">
        <f ca="1">IFERROR(OFFSET(Camp_List[Status],MATCH(Data_NFI_t[[#This Row],[Camp Name]],Camp_List[Camp Name],0)-1,0,1,1),"")</f>
        <v>Open</v>
      </c>
      <c r="AV39" s="724" t="s">
        <v>1144</v>
      </c>
      <c r="AY39" s="747"/>
    </row>
    <row r="40" spans="1:51" s="745" customFormat="1" ht="21" customHeight="1" x14ac:dyDescent="0.25">
      <c r="A40" s="948">
        <f t="shared" si="2"/>
        <v>6.833333333333333</v>
      </c>
      <c r="B40" s="949">
        <f>YEAR(Data_NFI_t[[#This Row],[Distribution Date]])</f>
        <v>2018</v>
      </c>
      <c r="C40" s="969">
        <v>43229</v>
      </c>
      <c r="D40" s="947" t="s">
        <v>273</v>
      </c>
      <c r="E40" s="947" t="s">
        <v>273</v>
      </c>
      <c r="F40" s="947" t="s">
        <v>7</v>
      </c>
      <c r="G40" s="951" t="s">
        <v>17</v>
      </c>
      <c r="H40" s="951" t="s">
        <v>582</v>
      </c>
      <c r="I40" s="714"/>
      <c r="J40" s="952">
        <v>126</v>
      </c>
      <c r="K40" s="952">
        <v>126</v>
      </c>
      <c r="L40" s="715"/>
      <c r="M40" s="715"/>
      <c r="N40" s="716"/>
      <c r="O40" s="716"/>
      <c r="P40" s="716"/>
      <c r="Q40" s="716"/>
      <c r="R40" s="716"/>
      <c r="S40" s="716"/>
      <c r="T40" s="717"/>
      <c r="U40" s="716"/>
      <c r="V40" s="970">
        <v>126</v>
      </c>
      <c r="W40" s="970">
        <v>35</v>
      </c>
      <c r="X40" s="716"/>
      <c r="Y40" s="716"/>
      <c r="Z40" s="716"/>
      <c r="AA40" s="716"/>
      <c r="AB40" s="716"/>
      <c r="AC40" s="716"/>
      <c r="AD40" s="753">
        <f>IF(NFI_Expiration=1,IF($A40&lt;VLOOKUP(I$5,NFI,5,0),1,0)*Data_NFI_t[[#This Row],[Hygiene Kit]],0)</f>
        <v>0</v>
      </c>
      <c r="AE40" s="753">
        <f>IF(NFI_Expiration=1,IF($A40&lt;VLOOKUP(L$5,NFI,5,0),1,0)*Data_NFI_t[[#This Row],[NFI Core Kit]],0)</f>
        <v>0</v>
      </c>
      <c r="AF40" s="715">
        <f>IF(NFI_Expiration=1,IF($A40&lt;VLOOKUP(M$5,NFI,5,0),1,0)*Data_NFI_t[[#This Row],[Sanitary Kit]],0)</f>
        <v>0</v>
      </c>
      <c r="AG40" s="1055">
        <f>IF(NFI_Expiration=1,IF($A40&lt;VLOOKUP(AC$5,NFI,5,0),1,0)*Data_NFI_t[[#This Row],[Rope]],0)</f>
        <v>0</v>
      </c>
      <c r="AH40" s="715">
        <f>IF(NFI_Expiration=1,IF($A40&lt;VLOOKUP(N$5,NFI,5,0),1,0)*Data_NFI_t[[#This Row],[Mosquito net]],0)</f>
        <v>0</v>
      </c>
      <c r="AI40" s="715">
        <f>IF(NFI_Expiration=1,IF($A40&lt;VLOOKUP(O$5,NFI,5,0),1,0)*Data_NFI_t[[#This Row],[Tarpaulin]],0)</f>
        <v>0</v>
      </c>
      <c r="AJ40" s="715">
        <f>IF(NFI_Expiration=1,IF($A40&lt;VLOOKUP(P$5,NFI,5,0),1,0)*Data_NFI_t[[#This Row],[Blanket]],0)</f>
        <v>0</v>
      </c>
      <c r="AK40" s="715">
        <f>IF(NFI_Expiration=1,IF($A40&lt;VLOOKUP(Q$5,NFI,5,0),1,0)*Data_NFI_t[[#This Row],[Kitchen Set]],0)</f>
        <v>0</v>
      </c>
      <c r="AL40" s="715">
        <f>IF(NFI_Expiration=1,IF($A40&lt;VLOOKUP(R$5,NFI,5,0),1,0)*Data_NFI_t[[#This Row],[Complementary Kit]],0)</f>
        <v>0</v>
      </c>
      <c r="AM40" s="715">
        <f>IF(NFI_Expiration=1,IF($A40&lt;VLOOKUP(S$5,NFI,5,0),1,0)*Data_NFI_t[[#This Row],[Plastic Bucket]],0)</f>
        <v>0</v>
      </c>
      <c r="AN40" s="753">
        <f>IF(NFI_Expiration=1,IF($A40&lt;VLOOKUP(T$5,NFI,5,0),1,0)*Data_NFI_t[[#This Row],[Jerry Can]],0)</f>
        <v>0</v>
      </c>
      <c r="AO40" s="753">
        <f>IF(NFI_Expiration=1,IF($A40&lt;VLOOKUP(U$5,NFI,5,0),1,0)*Data_NFI_t[[#This Row],[Plastic Mat]],0)*IF(Data_NFI_t[[#This Row],[Distribution Date]]&gt;"01-06-2015",1,2.5)</f>
        <v>0</v>
      </c>
      <c r="AP40" s="753">
        <f>IF(NFI_Expiration=1,IF($A40&lt;VLOOKUP(V$5,NFI,5,0),1,0)*Data_NFI_t[[#This Row],[Adult Clothes]],0)</f>
        <v>126</v>
      </c>
      <c r="AQ40" s="753">
        <f>IF(NFI_Expiration=1,IF($A40&lt;VLOOKUP(W$5,NFI,5,0),1,0)*Data_NFI_t[[#This Row],[Children Clothes]],0)</f>
        <v>35</v>
      </c>
      <c r="AR40" s="753">
        <f>IF(NFI_Expiration=1,IF($A40&lt;VLOOKUP(X$5,NFI,5,0),1,0)*Data_NFI_t[[#This Row],[Sewing Kit]],0)</f>
        <v>0</v>
      </c>
      <c r="AS40" s="709">
        <f>IF(NFI_Expiration=1,IF($A40&lt;VLOOKUP(X$5,NFI,5,0),1,0)*Data_NFI_t[[#This Row],[Solar Lantern]],0)</f>
        <v>0</v>
      </c>
      <c r="AT40" s="754" t="str">
        <f ca="1">IFERROR(OFFSET(Camp_List[P_Code],MATCH(Data_NFI_t[[#This Row],[Camp Name]],Camp_List[Camp Name],0)-1,0,1,1),"")</f>
        <v>MMR012CMP114</v>
      </c>
      <c r="AU40" s="755" t="str">
        <f ca="1">IFERROR(OFFSET(Camp_List[Status],MATCH(Data_NFI_t[[#This Row],[Camp Name]],Camp_List[Camp Name],0)-1,0,1,1),"")</f>
        <v>Open</v>
      </c>
      <c r="AV40" s="754"/>
      <c r="AY40" s="747"/>
    </row>
    <row r="41" spans="1:51" s="745" customFormat="1" ht="17.25" customHeight="1" x14ac:dyDescent="0.25">
      <c r="A41" s="948">
        <f t="shared" si="2"/>
        <v>8.5333333333333332</v>
      </c>
      <c r="B41" s="949">
        <f>YEAR(Data_NFI_t[[#This Row],[Distribution Date]])</f>
        <v>2018</v>
      </c>
      <c r="C41" s="950">
        <v>43178</v>
      </c>
      <c r="D41" s="947" t="s">
        <v>1119</v>
      </c>
      <c r="E41" s="947" t="s">
        <v>1119</v>
      </c>
      <c r="F41" s="947" t="s">
        <v>7</v>
      </c>
      <c r="G41" s="951" t="s">
        <v>17</v>
      </c>
      <c r="H41" s="951" t="s">
        <v>65</v>
      </c>
      <c r="I41" s="714"/>
      <c r="J41" s="952">
        <v>2280</v>
      </c>
      <c r="K41" s="952">
        <v>12540</v>
      </c>
      <c r="L41" s="715">
        <v>2280</v>
      </c>
      <c r="M41" s="715"/>
      <c r="N41" s="716"/>
      <c r="O41" s="716"/>
      <c r="P41" s="716"/>
      <c r="Q41" s="716"/>
      <c r="R41" s="716"/>
      <c r="S41" s="716"/>
      <c r="T41" s="717"/>
      <c r="U41" s="716"/>
      <c r="V41" s="970"/>
      <c r="W41" s="970"/>
      <c r="X41" s="716"/>
      <c r="Y41" s="716"/>
      <c r="Z41" s="716"/>
      <c r="AA41" s="716"/>
      <c r="AB41" s="716"/>
      <c r="AC41" s="716"/>
      <c r="AD41" s="753">
        <f>IF(NFI_Expiration=1,IF($A41&lt;VLOOKUP(I$5,NFI,5,0),1,0)*Data_NFI_t[[#This Row],[Hygiene Kit]],0)</f>
        <v>0</v>
      </c>
      <c r="AE41" s="753">
        <f>IF(NFI_Expiration=1,IF($A41&lt;VLOOKUP(L$5,NFI,5,0),1,0)*Data_NFI_t[[#This Row],[NFI Core Kit]],0)</f>
        <v>2280</v>
      </c>
      <c r="AF41" s="715">
        <f>IF(NFI_Expiration=1,IF($A41&lt;VLOOKUP(M$5,NFI,5,0),1,0)*Data_NFI_t[[#This Row],[Sanitary Kit]],0)</f>
        <v>0</v>
      </c>
      <c r="AG41" s="1055">
        <f>IF(NFI_Expiration=1,IF($A41&lt;VLOOKUP(AC$5,NFI,5,0),1,0)*Data_NFI_t[[#This Row],[Rope]],0)</f>
        <v>0</v>
      </c>
      <c r="AH41" s="715">
        <f>IF(NFI_Expiration=1,IF($A41&lt;VLOOKUP(N$5,NFI,5,0),1,0)*Data_NFI_t[[#This Row],[Mosquito net]],0)</f>
        <v>0</v>
      </c>
      <c r="AI41" s="715">
        <f>IF(NFI_Expiration=1,IF($A41&lt;VLOOKUP(O$5,NFI,5,0),1,0)*Data_NFI_t[[#This Row],[Tarpaulin]],0)</f>
        <v>0</v>
      </c>
      <c r="AJ41" s="715">
        <f>IF(NFI_Expiration=1,IF($A41&lt;VLOOKUP(P$5,NFI,5,0),1,0)*Data_NFI_t[[#This Row],[Blanket]],0)</f>
        <v>0</v>
      </c>
      <c r="AK41" s="715">
        <f>IF(NFI_Expiration=1,IF($A41&lt;VLOOKUP(Q$5,NFI,5,0),1,0)*Data_NFI_t[[#This Row],[Kitchen Set]],0)</f>
        <v>0</v>
      </c>
      <c r="AL41" s="715">
        <f>IF(NFI_Expiration=1,IF($A41&lt;VLOOKUP(R$5,NFI,5,0),1,0)*Data_NFI_t[[#This Row],[Complementary Kit]],0)</f>
        <v>0</v>
      </c>
      <c r="AM41" s="715">
        <f>IF(NFI_Expiration=1,IF($A41&lt;VLOOKUP(S$5,NFI,5,0),1,0)*Data_NFI_t[[#This Row],[Plastic Bucket]],0)</f>
        <v>0</v>
      </c>
      <c r="AN41" s="753">
        <f>IF(NFI_Expiration=1,IF($A41&lt;VLOOKUP(T$5,NFI,5,0),1,0)*Data_NFI_t[[#This Row],[Jerry Can]],0)</f>
        <v>0</v>
      </c>
      <c r="AO41" s="753">
        <f>IF(NFI_Expiration=1,IF($A41&lt;VLOOKUP(U$5,NFI,5,0),1,0)*Data_NFI_t[[#This Row],[Plastic Mat]],0)*IF(Data_NFI_t[[#This Row],[Distribution Date]]&gt;"01-06-2015",1,2.5)</f>
        <v>0</v>
      </c>
      <c r="AP41" s="753">
        <f>IF(NFI_Expiration=1,IF($A41&lt;VLOOKUP(V$5,NFI,5,0),1,0)*Data_NFI_t[[#This Row],[Adult Clothes]],0)</f>
        <v>0</v>
      </c>
      <c r="AQ41" s="753">
        <f>IF(NFI_Expiration=1,IF($A41&lt;VLOOKUP(W$5,NFI,5,0),1,0)*Data_NFI_t[[#This Row],[Children Clothes]],0)</f>
        <v>0</v>
      </c>
      <c r="AR41" s="753">
        <f>IF(NFI_Expiration=1,IF($A41&lt;VLOOKUP(X$5,NFI,5,0),1,0)*Data_NFI_t[[#This Row],[Sewing Kit]],0)</f>
        <v>0</v>
      </c>
      <c r="AS41" s="709">
        <f>IF(NFI_Expiration=1,IF($A41&lt;VLOOKUP(X$5,NFI,5,0),1,0)*Data_NFI_t[[#This Row],[Solar Lantern]],0)</f>
        <v>0</v>
      </c>
      <c r="AT41" s="754" t="str">
        <f ca="1">IFERROR(OFFSET(Camp_List[P_Code],MATCH(Data_NFI_t[[#This Row],[Camp Name]],Camp_List[Camp Name],0)-1,0,1,1),"")</f>
        <v>MMR012CMP045</v>
      </c>
      <c r="AU41" s="755" t="str">
        <f ca="1">IFERROR(OFFSET(Camp_List[Status],MATCH(Data_NFI_t[[#This Row],[Camp Name]],Camp_List[Camp Name],0)-1,0,1,1),"")</f>
        <v>Open</v>
      </c>
      <c r="AV41" s="754"/>
      <c r="AY41" s="747"/>
    </row>
    <row r="42" spans="1:51" s="745" customFormat="1" ht="17.25" customHeight="1" x14ac:dyDescent="0.25">
      <c r="A42" s="948">
        <f t="shared" si="2"/>
        <v>8.5666666666666664</v>
      </c>
      <c r="B42" s="949">
        <f>YEAR(Data_NFI_t[[#This Row],[Distribution Date]])</f>
        <v>2018</v>
      </c>
      <c r="C42" s="969">
        <v>43177</v>
      </c>
      <c r="D42" s="947" t="s">
        <v>1119</v>
      </c>
      <c r="E42" s="947" t="s">
        <v>1119</v>
      </c>
      <c r="F42" s="947" t="s">
        <v>7</v>
      </c>
      <c r="G42" s="951" t="s">
        <v>17</v>
      </c>
      <c r="H42" s="951" t="s">
        <v>586</v>
      </c>
      <c r="I42" s="714"/>
      <c r="J42" s="952">
        <v>2728</v>
      </c>
      <c r="K42" s="952">
        <v>15004</v>
      </c>
      <c r="L42" s="715">
        <v>2728</v>
      </c>
      <c r="M42" s="715"/>
      <c r="N42" s="716"/>
      <c r="O42" s="716"/>
      <c r="P42" s="716"/>
      <c r="Q42" s="716"/>
      <c r="R42" s="716"/>
      <c r="S42" s="716"/>
      <c r="T42" s="717"/>
      <c r="U42" s="716"/>
      <c r="V42" s="970"/>
      <c r="W42" s="970"/>
      <c r="X42" s="716"/>
      <c r="Y42" s="716"/>
      <c r="Z42" s="716"/>
      <c r="AA42" s="716"/>
      <c r="AB42" s="716"/>
      <c r="AC42" s="716"/>
      <c r="AD42" s="709">
        <f>IF(NFI_Expiration=1,IF($A42&lt;VLOOKUP(I$5,NFI,5,0),1,0)*Data_NFI_t[[#This Row],[Hygiene Kit]],0)</f>
        <v>0</v>
      </c>
      <c r="AE42" s="709">
        <f>IF(NFI_Expiration=1,IF($A42&lt;VLOOKUP(L$5,NFI,5,0),1,0)*Data_NFI_t[[#This Row],[NFI Core Kit]],0)</f>
        <v>2728</v>
      </c>
      <c r="AF42" s="710">
        <f>IF(NFI_Expiration=1,IF($A42&lt;VLOOKUP(M$5,NFI,5,0),1,0)*Data_NFI_t[[#This Row],[Sanitary Kit]],0)</f>
        <v>0</v>
      </c>
      <c r="AG42" s="1055">
        <f>IF(NFI_Expiration=1,IF($A42&lt;VLOOKUP(AC$5,NFI,5,0),1,0)*Data_NFI_t[[#This Row],[Rope]],0)</f>
        <v>0</v>
      </c>
      <c r="AH42" s="710">
        <f>IF(NFI_Expiration=1,IF($A42&lt;VLOOKUP(N$5,NFI,5,0),1,0)*Data_NFI_t[[#This Row],[Mosquito net]],0)</f>
        <v>0</v>
      </c>
      <c r="AI42" s="710">
        <f>IF(NFI_Expiration=1,IF($A42&lt;VLOOKUP(O$5,NFI,5,0),1,0)*Data_NFI_t[[#This Row],[Tarpaulin]],0)</f>
        <v>0</v>
      </c>
      <c r="AJ42" s="710">
        <f>IF(NFI_Expiration=1,IF($A42&lt;VLOOKUP(P$5,NFI,5,0),1,0)*Data_NFI_t[[#This Row],[Blanket]],0)</f>
        <v>0</v>
      </c>
      <c r="AK42" s="710">
        <f>IF(NFI_Expiration=1,IF($A42&lt;VLOOKUP(Q$5,NFI,5,0),1,0)*Data_NFI_t[[#This Row],[Kitchen Set]],0)</f>
        <v>0</v>
      </c>
      <c r="AL42" s="710">
        <f>IF(NFI_Expiration=1,IF($A42&lt;VLOOKUP(R$5,NFI,5,0),1,0)*Data_NFI_t[[#This Row],[Complementary Kit]],0)</f>
        <v>0</v>
      </c>
      <c r="AM42" s="710">
        <f>IF(NFI_Expiration=1,IF($A42&lt;VLOOKUP(S$5,NFI,5,0),1,0)*Data_NFI_t[[#This Row],[Plastic Bucket]],0)</f>
        <v>0</v>
      </c>
      <c r="AN42" s="709">
        <f>IF(NFI_Expiration=1,IF($A42&lt;VLOOKUP(T$5,NFI,5,0),1,0)*Data_NFI_t[[#This Row],[Jerry Can]],0)</f>
        <v>0</v>
      </c>
      <c r="AO42" s="709">
        <f>IF(NFI_Expiration=1,IF($A42&lt;VLOOKUP(U$5,NFI,5,0),1,0)*Data_NFI_t[[#This Row],[Plastic Mat]],0)*IF(Data_NFI_t[[#This Row],[Distribution Date]]&gt;"01-06-2015",1,2.5)</f>
        <v>0</v>
      </c>
      <c r="AP42" s="709">
        <f>IF(NFI_Expiration=1,IF($A42&lt;VLOOKUP(V$5,NFI,5,0),1,0)*Data_NFI_t[[#This Row],[Adult Clothes]],0)</f>
        <v>0</v>
      </c>
      <c r="AQ42" s="709">
        <f>IF(NFI_Expiration=1,IF($A42&lt;VLOOKUP(W$5,NFI,5,0),1,0)*Data_NFI_t[[#This Row],[Children Clothes]],0)</f>
        <v>0</v>
      </c>
      <c r="AR42" s="709">
        <f>IF(NFI_Expiration=1,IF($A42&lt;VLOOKUP(X$5,NFI,5,0),1,0)*Data_NFI_t[[#This Row],[Sewing Kit]],0)</f>
        <v>0</v>
      </c>
      <c r="AS42" s="709">
        <f>IF(NFI_Expiration=1,IF($A42&lt;VLOOKUP(X$5,NFI,5,0),1,0)*Data_NFI_t[[#This Row],[Solar Lantern]],0)</f>
        <v>0</v>
      </c>
      <c r="AT42" s="105" t="str">
        <f ca="1">IFERROR(OFFSET(Camp_List[P_Code],MATCH(Data_NFI_t[[#This Row],[Camp Name]],Camp_List[Camp Name],0)-1,0,1,1),"")</f>
        <v>MMR012CMP115</v>
      </c>
      <c r="AU42" s="412" t="str">
        <f ca="1">IFERROR(OFFSET(Camp_List[Status],MATCH(Data_NFI_t[[#This Row],[Camp Name]],Camp_List[Camp Name],0)-1,0,1,1),"")</f>
        <v>Open</v>
      </c>
      <c r="AV42" s="105"/>
      <c r="AY42" s="747"/>
    </row>
    <row r="43" spans="1:51" s="745" customFormat="1" ht="17.25" customHeight="1" x14ac:dyDescent="0.25">
      <c r="A43" s="948">
        <f t="shared" si="2"/>
        <v>8.6</v>
      </c>
      <c r="B43" s="949">
        <f>YEAR(Data_NFI_t[[#This Row],[Distribution Date]])</f>
        <v>2018</v>
      </c>
      <c r="C43" s="969">
        <v>43176</v>
      </c>
      <c r="D43" s="947" t="s">
        <v>1119</v>
      </c>
      <c r="E43" s="947" t="s">
        <v>1119</v>
      </c>
      <c r="F43" s="947" t="s">
        <v>7</v>
      </c>
      <c r="G43" s="951" t="s">
        <v>17</v>
      </c>
      <c r="H43" s="951" t="s">
        <v>68</v>
      </c>
      <c r="I43" s="714"/>
      <c r="J43" s="952">
        <v>1312</v>
      </c>
      <c r="K43" s="952">
        <v>7216</v>
      </c>
      <c r="L43" s="715">
        <v>1312</v>
      </c>
      <c r="M43" s="715"/>
      <c r="N43" s="716"/>
      <c r="O43" s="716"/>
      <c r="P43" s="716"/>
      <c r="Q43" s="716"/>
      <c r="R43" s="716"/>
      <c r="S43" s="716"/>
      <c r="T43" s="717"/>
      <c r="U43" s="716"/>
      <c r="V43" s="970"/>
      <c r="W43" s="970"/>
      <c r="X43" s="716"/>
      <c r="Y43" s="716"/>
      <c r="Z43" s="716"/>
      <c r="AA43" s="716"/>
      <c r="AB43" s="716"/>
      <c r="AC43" s="716"/>
      <c r="AD43" s="709">
        <f>IF(NFI_Expiration=1,IF($A43&lt;VLOOKUP(I$5,NFI,5,0),1,0)*Data_NFI_t[[#This Row],[Hygiene Kit]],0)</f>
        <v>0</v>
      </c>
      <c r="AE43" s="709">
        <f>IF(NFI_Expiration=1,IF($A43&lt;VLOOKUP(L$5,NFI,5,0),1,0)*Data_NFI_t[[#This Row],[NFI Core Kit]],0)</f>
        <v>1312</v>
      </c>
      <c r="AF43" s="710">
        <f>IF(NFI_Expiration=1,IF($A43&lt;VLOOKUP(M$5,NFI,5,0),1,0)*Data_NFI_t[[#This Row],[Sanitary Kit]],0)</f>
        <v>0</v>
      </c>
      <c r="AG43" s="1055">
        <f>IF(NFI_Expiration=1,IF($A43&lt;VLOOKUP(AC$5,NFI,5,0),1,0)*Data_NFI_t[[#This Row],[Rope]],0)</f>
        <v>0</v>
      </c>
      <c r="AH43" s="710">
        <f>IF(NFI_Expiration=1,IF($A43&lt;VLOOKUP(N$5,NFI,5,0),1,0)*Data_NFI_t[[#This Row],[Mosquito net]],0)</f>
        <v>0</v>
      </c>
      <c r="AI43" s="710">
        <f>IF(NFI_Expiration=1,IF($A43&lt;VLOOKUP(O$5,NFI,5,0),1,0)*Data_NFI_t[[#This Row],[Tarpaulin]],0)</f>
        <v>0</v>
      </c>
      <c r="AJ43" s="710">
        <f>IF(NFI_Expiration=1,IF($A43&lt;VLOOKUP(P$5,NFI,5,0),1,0)*Data_NFI_t[[#This Row],[Blanket]],0)</f>
        <v>0</v>
      </c>
      <c r="AK43" s="710">
        <f>IF(NFI_Expiration=1,IF($A43&lt;VLOOKUP(Q$5,NFI,5,0),1,0)*Data_NFI_t[[#This Row],[Kitchen Set]],0)</f>
        <v>0</v>
      </c>
      <c r="AL43" s="710">
        <f>IF(NFI_Expiration=1,IF($A43&lt;VLOOKUP(R$5,NFI,5,0),1,0)*Data_NFI_t[[#This Row],[Complementary Kit]],0)</f>
        <v>0</v>
      </c>
      <c r="AM43" s="710">
        <f>IF(NFI_Expiration=1,IF($A43&lt;VLOOKUP(S$5,NFI,5,0),1,0)*Data_NFI_t[[#This Row],[Plastic Bucket]],0)</f>
        <v>0</v>
      </c>
      <c r="AN43" s="709">
        <f>IF(NFI_Expiration=1,IF($A43&lt;VLOOKUP(T$5,NFI,5,0),1,0)*Data_NFI_t[[#This Row],[Jerry Can]],0)</f>
        <v>0</v>
      </c>
      <c r="AO43" s="709">
        <f>IF(NFI_Expiration=1,IF($A43&lt;VLOOKUP(U$5,NFI,5,0),1,0)*Data_NFI_t[[#This Row],[Plastic Mat]],0)*IF(Data_NFI_t[[#This Row],[Distribution Date]]&gt;"01-06-2015",1,2.5)</f>
        <v>0</v>
      </c>
      <c r="AP43" s="709">
        <f>IF(NFI_Expiration=1,IF($A43&lt;VLOOKUP(V$5,NFI,5,0),1,0)*Data_NFI_t[[#This Row],[Adult Clothes]],0)</f>
        <v>0</v>
      </c>
      <c r="AQ43" s="709">
        <f>IF(NFI_Expiration=1,IF($A43&lt;VLOOKUP(W$5,NFI,5,0),1,0)*Data_NFI_t[[#This Row],[Children Clothes]],0)</f>
        <v>0</v>
      </c>
      <c r="AR43" s="709">
        <f>IF(NFI_Expiration=1,IF($A43&lt;VLOOKUP(X$5,NFI,5,0),1,0)*Data_NFI_t[[#This Row],[Sewing Kit]],0)</f>
        <v>0</v>
      </c>
      <c r="AS43" s="709">
        <f>IF(NFI_Expiration=1,IF($A43&lt;VLOOKUP(X$5,NFI,5,0),1,0)*Data_NFI_t[[#This Row],[Solar Lantern]],0)</f>
        <v>0</v>
      </c>
      <c r="AT43" s="105" t="str">
        <f ca="1">IFERROR(OFFSET(Camp_List[P_Code],MATCH(Data_NFI_t[[#This Row],[Camp Name]],Camp_List[Camp Name],0)-1,0,1,1),"")</f>
        <v>MMR012CMP048</v>
      </c>
      <c r="AU43" s="412" t="str">
        <f ca="1">IFERROR(OFFSET(Camp_List[Status],MATCH(Data_NFI_t[[#This Row],[Camp Name]],Camp_List[Camp Name],0)-1,0,1,1),"")</f>
        <v>Open</v>
      </c>
      <c r="AV43" s="105"/>
      <c r="AY43" s="747"/>
    </row>
    <row r="44" spans="1:51" s="745" customFormat="1" ht="17.25" customHeight="1" x14ac:dyDescent="0.25">
      <c r="A44" s="948">
        <f t="shared" si="2"/>
        <v>8.6</v>
      </c>
      <c r="B44" s="949">
        <f>YEAR(Data_NFI_t[[#This Row],[Distribution Date]])</f>
        <v>2018</v>
      </c>
      <c r="C44" s="969">
        <v>43176</v>
      </c>
      <c r="D44" s="947" t="s">
        <v>1119</v>
      </c>
      <c r="E44" s="947" t="s">
        <v>1119</v>
      </c>
      <c r="F44" s="947" t="s">
        <v>7</v>
      </c>
      <c r="G44" s="951" t="s">
        <v>17</v>
      </c>
      <c r="H44" s="951" t="s">
        <v>580</v>
      </c>
      <c r="I44" s="714"/>
      <c r="J44" s="952">
        <v>656</v>
      </c>
      <c r="K44" s="952">
        <v>3608</v>
      </c>
      <c r="L44" s="715">
        <v>656</v>
      </c>
      <c r="M44" s="715"/>
      <c r="N44" s="716"/>
      <c r="O44" s="716"/>
      <c r="P44" s="716"/>
      <c r="Q44" s="716"/>
      <c r="R44" s="716"/>
      <c r="S44" s="716"/>
      <c r="T44" s="717"/>
      <c r="U44" s="716"/>
      <c r="V44" s="970"/>
      <c r="W44" s="970"/>
      <c r="X44" s="716"/>
      <c r="Y44" s="716"/>
      <c r="Z44" s="716"/>
      <c r="AA44" s="716"/>
      <c r="AB44" s="716"/>
      <c r="AC44" s="716"/>
      <c r="AD44" s="709">
        <f>IF(NFI_Expiration=1,IF($A44&lt;VLOOKUP(I$5,NFI,5,0),1,0)*Data_NFI_t[[#This Row],[Hygiene Kit]],0)</f>
        <v>0</v>
      </c>
      <c r="AE44" s="709">
        <f>IF(NFI_Expiration=1,IF($A44&lt;VLOOKUP(L$5,NFI,5,0),1,0)*Data_NFI_t[[#This Row],[NFI Core Kit]],0)</f>
        <v>656</v>
      </c>
      <c r="AF44" s="710">
        <f>IF(NFI_Expiration=1,IF($A44&lt;VLOOKUP(M$5,NFI,5,0),1,0)*Data_NFI_t[[#This Row],[Sanitary Kit]],0)</f>
        <v>0</v>
      </c>
      <c r="AG44" s="1055">
        <f>IF(NFI_Expiration=1,IF($A44&lt;VLOOKUP(AC$5,NFI,5,0),1,0)*Data_NFI_t[[#This Row],[Rope]],0)</f>
        <v>0</v>
      </c>
      <c r="AH44" s="710">
        <f>IF(NFI_Expiration=1,IF($A44&lt;VLOOKUP(N$5,NFI,5,0),1,0)*Data_NFI_t[[#This Row],[Mosquito net]],0)</f>
        <v>0</v>
      </c>
      <c r="AI44" s="710">
        <f>IF(NFI_Expiration=1,IF($A44&lt;VLOOKUP(O$5,NFI,5,0),1,0)*Data_NFI_t[[#This Row],[Tarpaulin]],0)</f>
        <v>0</v>
      </c>
      <c r="AJ44" s="710">
        <f>IF(NFI_Expiration=1,IF($A44&lt;VLOOKUP(P$5,NFI,5,0),1,0)*Data_NFI_t[[#This Row],[Blanket]],0)</f>
        <v>0</v>
      </c>
      <c r="AK44" s="710">
        <f>IF(NFI_Expiration=1,IF($A44&lt;VLOOKUP(Q$5,NFI,5,0),1,0)*Data_NFI_t[[#This Row],[Kitchen Set]],0)</f>
        <v>0</v>
      </c>
      <c r="AL44" s="710">
        <f>IF(NFI_Expiration=1,IF($A44&lt;VLOOKUP(R$5,NFI,5,0),1,0)*Data_NFI_t[[#This Row],[Complementary Kit]],0)</f>
        <v>0</v>
      </c>
      <c r="AM44" s="710">
        <f>IF(NFI_Expiration=1,IF($A44&lt;VLOOKUP(S$5,NFI,5,0),1,0)*Data_NFI_t[[#This Row],[Plastic Bucket]],0)</f>
        <v>0</v>
      </c>
      <c r="AN44" s="709">
        <f>IF(NFI_Expiration=1,IF($A44&lt;VLOOKUP(T$5,NFI,5,0),1,0)*Data_NFI_t[[#This Row],[Jerry Can]],0)</f>
        <v>0</v>
      </c>
      <c r="AO44" s="709">
        <f>IF(NFI_Expiration=1,IF($A44&lt;VLOOKUP(U$5,NFI,5,0),1,0)*Data_NFI_t[[#This Row],[Plastic Mat]],0)*IF(Data_NFI_t[[#This Row],[Distribution Date]]&gt;"01-06-2015",1,2.5)</f>
        <v>0</v>
      </c>
      <c r="AP44" s="709">
        <f>IF(NFI_Expiration=1,IF($A44&lt;VLOOKUP(V$5,NFI,5,0),1,0)*Data_NFI_t[[#This Row],[Adult Clothes]],0)</f>
        <v>0</v>
      </c>
      <c r="AQ44" s="709">
        <f>IF(NFI_Expiration=1,IF($A44&lt;VLOOKUP(W$5,NFI,5,0),1,0)*Data_NFI_t[[#This Row],[Children Clothes]],0)</f>
        <v>0</v>
      </c>
      <c r="AR44" s="709">
        <f>IF(NFI_Expiration=1,IF($A44&lt;VLOOKUP(X$5,NFI,5,0),1,0)*Data_NFI_t[[#This Row],[Sewing Kit]],0)</f>
        <v>0</v>
      </c>
      <c r="AS44" s="709">
        <f>IF(NFI_Expiration=1,IF($A44&lt;VLOOKUP(X$5,NFI,5,0),1,0)*Data_NFI_t[[#This Row],[Solar Lantern]],0)</f>
        <v>0</v>
      </c>
      <c r="AT44" s="105" t="str">
        <f ca="1">IFERROR(OFFSET(Camp_List[P_Code],MATCH(Data_NFI_t[[#This Row],[Camp Name]],Camp_List[Camp Name],0)-1,0,1,1),"")</f>
        <v>MMR012CMP092</v>
      </c>
      <c r="AU44" s="412" t="str">
        <f ca="1">IFERROR(OFFSET(Camp_List[Status],MATCH(Data_NFI_t[[#This Row],[Camp Name]],Camp_List[Camp Name],0)-1,0,1,1),"")</f>
        <v>Open</v>
      </c>
      <c r="AV44" s="105"/>
      <c r="AY44" s="747"/>
    </row>
    <row r="45" spans="1:51" s="745" customFormat="1" ht="17.25" customHeight="1" x14ac:dyDescent="0.25">
      <c r="A45" s="948">
        <f t="shared" si="2"/>
        <v>8.9666666666666668</v>
      </c>
      <c r="B45" s="949">
        <f>YEAR(Data_NFI_t[[#This Row],[Distribution Date]])</f>
        <v>2018</v>
      </c>
      <c r="C45" s="969">
        <v>43165</v>
      </c>
      <c r="D45" s="947" t="s">
        <v>1035</v>
      </c>
      <c r="E45" s="947" t="s">
        <v>1035</v>
      </c>
      <c r="F45" s="947" t="s">
        <v>7</v>
      </c>
      <c r="G45" s="951" t="s">
        <v>13</v>
      </c>
      <c r="H45" s="951" t="s">
        <v>41</v>
      </c>
      <c r="I45" s="714"/>
      <c r="J45" s="952">
        <v>720</v>
      </c>
      <c r="K45" s="952">
        <v>2810</v>
      </c>
      <c r="L45" s="715">
        <v>1440</v>
      </c>
      <c r="M45" s="715"/>
      <c r="N45" s="716"/>
      <c r="O45" s="716"/>
      <c r="P45" s="716"/>
      <c r="Q45" s="716"/>
      <c r="R45" s="716"/>
      <c r="S45" s="716"/>
      <c r="T45" s="717"/>
      <c r="U45" s="716"/>
      <c r="V45" s="970"/>
      <c r="W45" s="970"/>
      <c r="X45" s="716"/>
      <c r="Y45" s="716"/>
      <c r="Z45" s="716"/>
      <c r="AA45" s="716"/>
      <c r="AB45" s="716"/>
      <c r="AC45" s="716"/>
      <c r="AD45" s="709">
        <f>IF(NFI_Expiration=1,IF($A45&lt;VLOOKUP(I$5,NFI,5,0),1,0)*Data_NFI_t[[#This Row],[Hygiene Kit]],0)</f>
        <v>0</v>
      </c>
      <c r="AE45" s="709">
        <f>IF(NFI_Expiration=1,IF($A45&lt;VLOOKUP(L$5,NFI,5,0),1,0)*Data_NFI_t[[#This Row],[NFI Core Kit]],0)</f>
        <v>1440</v>
      </c>
      <c r="AF45" s="710">
        <f>IF(NFI_Expiration=1,IF($A45&lt;VLOOKUP(M$5,NFI,5,0),1,0)*Data_NFI_t[[#This Row],[Sanitary Kit]],0)</f>
        <v>0</v>
      </c>
      <c r="AG45" s="1055">
        <f>IF(NFI_Expiration=1,IF($A45&lt;VLOOKUP(AC$5,NFI,5,0),1,0)*Data_NFI_t[[#This Row],[Rope]],0)</f>
        <v>0</v>
      </c>
      <c r="AH45" s="710">
        <f>IF(NFI_Expiration=1,IF($A45&lt;VLOOKUP(N$5,NFI,5,0),1,0)*Data_NFI_t[[#This Row],[Mosquito net]],0)</f>
        <v>0</v>
      </c>
      <c r="AI45" s="710">
        <f>IF(NFI_Expiration=1,IF($A45&lt;VLOOKUP(O$5,NFI,5,0),1,0)*Data_NFI_t[[#This Row],[Tarpaulin]],0)</f>
        <v>0</v>
      </c>
      <c r="AJ45" s="710">
        <f>IF(NFI_Expiration=1,IF($A45&lt;VLOOKUP(P$5,NFI,5,0),1,0)*Data_NFI_t[[#This Row],[Blanket]],0)</f>
        <v>0</v>
      </c>
      <c r="AK45" s="710">
        <f>IF(NFI_Expiration=1,IF($A45&lt;VLOOKUP(Q$5,NFI,5,0),1,0)*Data_NFI_t[[#This Row],[Kitchen Set]],0)</f>
        <v>0</v>
      </c>
      <c r="AL45" s="710">
        <f>IF(NFI_Expiration=1,IF($A45&lt;VLOOKUP(R$5,NFI,5,0),1,0)*Data_NFI_t[[#This Row],[Complementary Kit]],0)</f>
        <v>0</v>
      </c>
      <c r="AM45" s="710">
        <f>IF(NFI_Expiration=1,IF($A45&lt;VLOOKUP(S$5,NFI,5,0),1,0)*Data_NFI_t[[#This Row],[Plastic Bucket]],0)</f>
        <v>0</v>
      </c>
      <c r="AN45" s="709">
        <f>IF(NFI_Expiration=1,IF($A45&lt;VLOOKUP(T$5,NFI,5,0),1,0)*Data_NFI_t[[#This Row],[Jerry Can]],0)</f>
        <v>0</v>
      </c>
      <c r="AO45" s="709">
        <f>IF(NFI_Expiration=1,IF($A45&lt;VLOOKUP(U$5,NFI,5,0),1,0)*Data_NFI_t[[#This Row],[Plastic Mat]],0)*IF(Data_NFI_t[[#This Row],[Distribution Date]]&gt;"01-06-2015",1,2.5)</f>
        <v>0</v>
      </c>
      <c r="AP45" s="709">
        <f>IF(NFI_Expiration=1,IF($A45&lt;VLOOKUP(V$5,NFI,5,0),1,0)*Data_NFI_t[[#This Row],[Adult Clothes]],0)</f>
        <v>0</v>
      </c>
      <c r="AQ45" s="709">
        <f>IF(NFI_Expiration=1,IF($A45&lt;VLOOKUP(W$5,NFI,5,0),1,0)*Data_NFI_t[[#This Row],[Children Clothes]],0)</f>
        <v>0</v>
      </c>
      <c r="AR45" s="709">
        <f>IF(NFI_Expiration=1,IF($A45&lt;VLOOKUP(X$5,NFI,5,0),1,0)*Data_NFI_t[[#This Row],[Sewing Kit]],0)</f>
        <v>0</v>
      </c>
      <c r="AS45" s="709">
        <f>IF(NFI_Expiration=1,IF($A45&lt;VLOOKUP(X$5,NFI,5,0),1,0)*Data_NFI_t[[#This Row],[Solar Lantern]],0)</f>
        <v>0</v>
      </c>
      <c r="AT45" s="105" t="str">
        <f ca="1">IFERROR(OFFSET(Camp_List[P_Code],MATCH(Data_NFI_t[[#This Row],[Camp Name]],Camp_List[Camp Name],0)-1,0,1,1),"")</f>
        <v>MMR012CMP019</v>
      </c>
      <c r="AU45" s="412" t="str">
        <f ca="1">IFERROR(OFFSET(Camp_List[Status],MATCH(Data_NFI_t[[#This Row],[Camp Name]],Camp_List[Camp Name],0)-1,0,1,1),"")</f>
        <v>Open</v>
      </c>
      <c r="AV45" s="105"/>
      <c r="AY45" s="747"/>
    </row>
    <row r="46" spans="1:51" s="745" customFormat="1" ht="19.5" customHeight="1" x14ac:dyDescent="0.25">
      <c r="A46" s="711">
        <f t="shared" si="2"/>
        <v>9.4333333333333336</v>
      </c>
      <c r="B46" s="712">
        <f>YEAR(Data_NFI_t[[#This Row],[Distribution Date]])</f>
        <v>2018</v>
      </c>
      <c r="C46" s="912">
        <v>43151</v>
      </c>
      <c r="D46" s="708" t="s">
        <v>1119</v>
      </c>
      <c r="E46" s="708" t="s">
        <v>1119</v>
      </c>
      <c r="F46" s="708" t="s">
        <v>7</v>
      </c>
      <c r="G46" s="713" t="s">
        <v>17</v>
      </c>
      <c r="H46" s="713" t="s">
        <v>68</v>
      </c>
      <c r="I46" s="714"/>
      <c r="J46" s="886">
        <v>1312</v>
      </c>
      <c r="K46" s="886">
        <v>5856</v>
      </c>
      <c r="L46" s="715">
        <v>1312</v>
      </c>
      <c r="M46" s="715"/>
      <c r="N46" s="716"/>
      <c r="O46" s="716"/>
      <c r="P46" s="716"/>
      <c r="Q46" s="716"/>
      <c r="R46" s="716"/>
      <c r="S46" s="716"/>
      <c r="T46" s="717"/>
      <c r="U46" s="716"/>
      <c r="V46" s="970"/>
      <c r="W46" s="970"/>
      <c r="X46" s="716"/>
      <c r="Y46" s="716"/>
      <c r="Z46" s="716"/>
      <c r="AA46" s="716"/>
      <c r="AB46" s="716"/>
      <c r="AC46" s="716"/>
      <c r="AD46" s="753">
        <f>IF(NFI_Expiration=1,IF($A46&lt;VLOOKUP(I$5,NFI,5,0),1,0)*Data_NFI_t[[#This Row],[Hygiene Kit]],0)</f>
        <v>0</v>
      </c>
      <c r="AE46" s="753">
        <f>IF(NFI_Expiration=1,IF($A46&lt;VLOOKUP(L$5,NFI,5,0),1,0)*Data_NFI_t[[#This Row],[NFI Core Kit]],0)</f>
        <v>1312</v>
      </c>
      <c r="AF46" s="715">
        <f>IF(NFI_Expiration=1,IF($A46&lt;VLOOKUP(M$5,NFI,5,0),1,0)*Data_NFI_t[[#This Row],[Sanitary Kit]],0)</f>
        <v>0</v>
      </c>
      <c r="AG46" s="1055">
        <f>IF(NFI_Expiration=1,IF($A46&lt;VLOOKUP(AC$5,NFI,5,0),1,0)*Data_NFI_t[[#This Row],[Rope]],0)</f>
        <v>0</v>
      </c>
      <c r="AH46" s="715">
        <f>IF(NFI_Expiration=1,IF($A46&lt;VLOOKUP(N$5,NFI,5,0),1,0)*Data_NFI_t[[#This Row],[Mosquito net]],0)</f>
        <v>0</v>
      </c>
      <c r="AI46" s="715">
        <f>IF(NFI_Expiration=1,IF($A46&lt;VLOOKUP(O$5,NFI,5,0),1,0)*Data_NFI_t[[#This Row],[Tarpaulin]],0)</f>
        <v>0</v>
      </c>
      <c r="AJ46" s="715">
        <f>IF(NFI_Expiration=1,IF($A46&lt;VLOOKUP(P$5,NFI,5,0),1,0)*Data_NFI_t[[#This Row],[Blanket]],0)</f>
        <v>0</v>
      </c>
      <c r="AK46" s="715">
        <f>IF(NFI_Expiration=1,IF($A46&lt;VLOOKUP(Q$5,NFI,5,0),1,0)*Data_NFI_t[[#This Row],[Kitchen Set]],0)</f>
        <v>0</v>
      </c>
      <c r="AL46" s="715">
        <f>IF(NFI_Expiration=1,IF($A46&lt;VLOOKUP(R$5,NFI,5,0),1,0)*Data_NFI_t[[#This Row],[Complementary Kit]],0)</f>
        <v>0</v>
      </c>
      <c r="AM46" s="715">
        <f>IF(NFI_Expiration=1,IF($A46&lt;VLOOKUP(S$5,NFI,5,0),1,0)*Data_NFI_t[[#This Row],[Plastic Bucket]],0)</f>
        <v>0</v>
      </c>
      <c r="AN46" s="753">
        <f>IF(NFI_Expiration=1,IF($A46&lt;VLOOKUP(T$5,NFI,5,0),1,0)*Data_NFI_t[[#This Row],[Jerry Can]],0)</f>
        <v>0</v>
      </c>
      <c r="AO46" s="753">
        <f>IF(NFI_Expiration=1,IF($A46&lt;VLOOKUP(U$5,NFI,5,0),1,0)*Data_NFI_t[[#This Row],[Plastic Mat]],0)*IF(Data_NFI_t[[#This Row],[Distribution Date]]&gt;"01-06-2015",1,2.5)</f>
        <v>0</v>
      </c>
      <c r="AP46" s="753">
        <f>IF(NFI_Expiration=1,IF($A46&lt;VLOOKUP(V$5,NFI,5,0),1,0)*Data_NFI_t[[#This Row],[Adult Clothes]],0)</f>
        <v>0</v>
      </c>
      <c r="AQ46" s="753">
        <f>IF(NFI_Expiration=1,IF($A46&lt;VLOOKUP(W$5,NFI,5,0),1,0)*Data_NFI_t[[#This Row],[Children Clothes]],0)</f>
        <v>0</v>
      </c>
      <c r="AR46" s="753">
        <f>IF(NFI_Expiration=1,IF($A46&lt;VLOOKUP(X$5,NFI,5,0),1,0)*Data_NFI_t[[#This Row],[Sewing Kit]],0)</f>
        <v>0</v>
      </c>
      <c r="AS46" s="709">
        <f>IF(NFI_Expiration=1,IF($A46&lt;VLOOKUP(X$5,NFI,5,0),1,0)*Data_NFI_t[[#This Row],[Solar Lantern]],0)</f>
        <v>0</v>
      </c>
      <c r="AT46" s="754" t="str">
        <f ca="1">IFERROR(OFFSET(Camp_List[P_Code],MATCH(Data_NFI_t[[#This Row],[Camp Name]],Camp_List[Camp Name],0)-1,0,1,1),"")</f>
        <v>MMR012CMP048</v>
      </c>
      <c r="AU46" s="755" t="str">
        <f ca="1">IFERROR(OFFSET(Camp_List[Status],MATCH(Data_NFI_t[[#This Row],[Camp Name]],Camp_List[Camp Name],0)-1,0,1,1),"")</f>
        <v>Open</v>
      </c>
      <c r="AV46" s="754"/>
      <c r="AY46" s="747"/>
    </row>
    <row r="47" spans="1:51" s="745" customFormat="1" ht="19.5" customHeight="1" x14ac:dyDescent="0.25">
      <c r="A47" s="711">
        <f t="shared" si="2"/>
        <v>9.4666666666666668</v>
      </c>
      <c r="B47" s="712">
        <f>YEAR(Data_NFI_t[[#This Row],[Distribution Date]])</f>
        <v>2018</v>
      </c>
      <c r="C47" s="912">
        <v>43150</v>
      </c>
      <c r="D47" s="708" t="s">
        <v>1119</v>
      </c>
      <c r="E47" s="708" t="s">
        <v>1119</v>
      </c>
      <c r="F47" s="708" t="s">
        <v>7</v>
      </c>
      <c r="G47" s="713" t="s">
        <v>17</v>
      </c>
      <c r="H47" s="713" t="s">
        <v>580</v>
      </c>
      <c r="I47" s="714"/>
      <c r="J47" s="886">
        <v>656</v>
      </c>
      <c r="K47" s="886">
        <v>3441</v>
      </c>
      <c r="L47" s="715">
        <v>656</v>
      </c>
      <c r="M47" s="715"/>
      <c r="N47" s="716"/>
      <c r="O47" s="716"/>
      <c r="P47" s="716"/>
      <c r="Q47" s="716"/>
      <c r="R47" s="716"/>
      <c r="S47" s="716"/>
      <c r="T47" s="717"/>
      <c r="U47" s="716"/>
      <c r="V47" s="970"/>
      <c r="W47" s="970"/>
      <c r="X47" s="716"/>
      <c r="Y47" s="716"/>
      <c r="Z47" s="716"/>
      <c r="AA47" s="716"/>
      <c r="AB47" s="716"/>
      <c r="AC47" s="716"/>
      <c r="AD47" s="753">
        <f>IF(NFI_Expiration=1,IF($A47&lt;VLOOKUP(I$5,NFI,5,0),1,0)*Data_NFI_t[[#This Row],[Hygiene Kit]],0)</f>
        <v>0</v>
      </c>
      <c r="AE47" s="753">
        <f>IF(NFI_Expiration=1,IF($A47&lt;VLOOKUP(L$5,NFI,5,0),1,0)*Data_NFI_t[[#This Row],[NFI Core Kit]],0)</f>
        <v>656</v>
      </c>
      <c r="AF47" s="715">
        <f>IF(NFI_Expiration=1,IF($A47&lt;VLOOKUP(M$5,NFI,5,0),1,0)*Data_NFI_t[[#This Row],[Sanitary Kit]],0)</f>
        <v>0</v>
      </c>
      <c r="AG47" s="1055">
        <f>IF(NFI_Expiration=1,IF($A47&lt;VLOOKUP(AC$5,NFI,5,0),1,0)*Data_NFI_t[[#This Row],[Rope]],0)</f>
        <v>0</v>
      </c>
      <c r="AH47" s="715">
        <f>IF(NFI_Expiration=1,IF($A47&lt;VLOOKUP(N$5,NFI,5,0),1,0)*Data_NFI_t[[#This Row],[Mosquito net]],0)</f>
        <v>0</v>
      </c>
      <c r="AI47" s="715">
        <f>IF(NFI_Expiration=1,IF($A47&lt;VLOOKUP(O$5,NFI,5,0),1,0)*Data_NFI_t[[#This Row],[Tarpaulin]],0)</f>
        <v>0</v>
      </c>
      <c r="AJ47" s="715">
        <f>IF(NFI_Expiration=1,IF($A47&lt;VLOOKUP(P$5,NFI,5,0),1,0)*Data_NFI_t[[#This Row],[Blanket]],0)</f>
        <v>0</v>
      </c>
      <c r="AK47" s="715">
        <f>IF(NFI_Expiration=1,IF($A47&lt;VLOOKUP(Q$5,NFI,5,0),1,0)*Data_NFI_t[[#This Row],[Kitchen Set]],0)</f>
        <v>0</v>
      </c>
      <c r="AL47" s="715">
        <f>IF(NFI_Expiration=1,IF($A47&lt;VLOOKUP(R$5,NFI,5,0),1,0)*Data_NFI_t[[#This Row],[Complementary Kit]],0)</f>
        <v>0</v>
      </c>
      <c r="AM47" s="715">
        <f>IF(NFI_Expiration=1,IF($A47&lt;VLOOKUP(S$5,NFI,5,0),1,0)*Data_NFI_t[[#This Row],[Plastic Bucket]],0)</f>
        <v>0</v>
      </c>
      <c r="AN47" s="753">
        <f>IF(NFI_Expiration=1,IF($A47&lt;VLOOKUP(T$5,NFI,5,0),1,0)*Data_NFI_t[[#This Row],[Jerry Can]],0)</f>
        <v>0</v>
      </c>
      <c r="AO47" s="753">
        <f>IF(NFI_Expiration=1,IF($A47&lt;VLOOKUP(U$5,NFI,5,0),1,0)*Data_NFI_t[[#This Row],[Plastic Mat]],0)*IF(Data_NFI_t[[#This Row],[Distribution Date]]&gt;"01-06-2015",1,2.5)</f>
        <v>0</v>
      </c>
      <c r="AP47" s="753">
        <f>IF(NFI_Expiration=1,IF($A47&lt;VLOOKUP(V$5,NFI,5,0),1,0)*Data_NFI_t[[#This Row],[Adult Clothes]],0)</f>
        <v>0</v>
      </c>
      <c r="AQ47" s="753">
        <f>IF(NFI_Expiration=1,IF($A47&lt;VLOOKUP(W$5,NFI,5,0),1,0)*Data_NFI_t[[#This Row],[Children Clothes]],0)</f>
        <v>0</v>
      </c>
      <c r="AR47" s="753">
        <f>IF(NFI_Expiration=1,IF($A47&lt;VLOOKUP(X$5,NFI,5,0),1,0)*Data_NFI_t[[#This Row],[Sewing Kit]],0)</f>
        <v>0</v>
      </c>
      <c r="AS47" s="709">
        <f>IF(NFI_Expiration=1,IF($A47&lt;VLOOKUP(X$5,NFI,5,0),1,0)*Data_NFI_t[[#This Row],[Solar Lantern]],0)</f>
        <v>0</v>
      </c>
      <c r="AT47" s="754" t="str">
        <f ca="1">IFERROR(OFFSET(Camp_List[P_Code],MATCH(Data_NFI_t[[#This Row],[Camp Name]],Camp_List[Camp Name],0)-1,0,1,1),"")</f>
        <v>MMR012CMP092</v>
      </c>
      <c r="AU47" s="755" t="str">
        <f ca="1">IFERROR(OFFSET(Camp_List[Status],MATCH(Data_NFI_t[[#This Row],[Camp Name]],Camp_List[Camp Name],0)-1,0,1,1),"")</f>
        <v>Open</v>
      </c>
      <c r="AV47" s="754"/>
      <c r="AY47" s="747"/>
    </row>
    <row r="48" spans="1:51" s="745" customFormat="1" ht="19.5" customHeight="1" x14ac:dyDescent="0.25">
      <c r="A48" s="711">
        <f t="shared" si="2"/>
        <v>9.4666666666666668</v>
      </c>
      <c r="B48" s="712">
        <f>YEAR(Data_NFI_t[[#This Row],[Distribution Date]])</f>
        <v>2018</v>
      </c>
      <c r="C48" s="912">
        <v>43150</v>
      </c>
      <c r="D48" s="708" t="s">
        <v>1119</v>
      </c>
      <c r="E48" s="708" t="s">
        <v>1119</v>
      </c>
      <c r="F48" s="708" t="s">
        <v>7</v>
      </c>
      <c r="G48" s="713" t="s">
        <v>17</v>
      </c>
      <c r="H48" s="713" t="s">
        <v>65</v>
      </c>
      <c r="I48" s="714"/>
      <c r="J48" s="886">
        <v>2280</v>
      </c>
      <c r="K48" s="886">
        <v>13743</v>
      </c>
      <c r="L48" s="715">
        <v>2280</v>
      </c>
      <c r="M48" s="715"/>
      <c r="N48" s="716"/>
      <c r="O48" s="716"/>
      <c r="P48" s="716"/>
      <c r="Q48" s="716"/>
      <c r="R48" s="716"/>
      <c r="S48" s="716"/>
      <c r="T48" s="717"/>
      <c r="U48" s="716"/>
      <c r="V48" s="970"/>
      <c r="W48" s="970"/>
      <c r="X48" s="716"/>
      <c r="Y48" s="716"/>
      <c r="Z48" s="716"/>
      <c r="AA48" s="716"/>
      <c r="AB48" s="716"/>
      <c r="AC48" s="716"/>
      <c r="AD48" s="753">
        <f>IF(NFI_Expiration=1,IF($A48&lt;VLOOKUP(I$5,NFI,5,0),1,0)*Data_NFI_t[[#This Row],[Hygiene Kit]],0)</f>
        <v>0</v>
      </c>
      <c r="AE48" s="753">
        <f>IF(NFI_Expiration=1,IF($A48&lt;VLOOKUP(L$5,NFI,5,0),1,0)*Data_NFI_t[[#This Row],[NFI Core Kit]],0)</f>
        <v>2280</v>
      </c>
      <c r="AF48" s="715">
        <f>IF(NFI_Expiration=1,IF($A48&lt;VLOOKUP(M$5,NFI,5,0),1,0)*Data_NFI_t[[#This Row],[Sanitary Kit]],0)</f>
        <v>0</v>
      </c>
      <c r="AG48" s="1055">
        <f>IF(NFI_Expiration=1,IF($A48&lt;VLOOKUP(AC$5,NFI,5,0),1,0)*Data_NFI_t[[#This Row],[Rope]],0)</f>
        <v>0</v>
      </c>
      <c r="AH48" s="715">
        <f>IF(NFI_Expiration=1,IF($A48&lt;VLOOKUP(N$5,NFI,5,0),1,0)*Data_NFI_t[[#This Row],[Mosquito net]],0)</f>
        <v>0</v>
      </c>
      <c r="AI48" s="715">
        <f>IF(NFI_Expiration=1,IF($A48&lt;VLOOKUP(O$5,NFI,5,0),1,0)*Data_NFI_t[[#This Row],[Tarpaulin]],0)</f>
        <v>0</v>
      </c>
      <c r="AJ48" s="715">
        <f>IF(NFI_Expiration=1,IF($A48&lt;VLOOKUP(P$5,NFI,5,0),1,0)*Data_NFI_t[[#This Row],[Blanket]],0)</f>
        <v>0</v>
      </c>
      <c r="AK48" s="715">
        <f>IF(NFI_Expiration=1,IF($A48&lt;VLOOKUP(Q$5,NFI,5,0),1,0)*Data_NFI_t[[#This Row],[Kitchen Set]],0)</f>
        <v>0</v>
      </c>
      <c r="AL48" s="715">
        <f>IF(NFI_Expiration=1,IF($A48&lt;VLOOKUP(R$5,NFI,5,0),1,0)*Data_NFI_t[[#This Row],[Complementary Kit]],0)</f>
        <v>0</v>
      </c>
      <c r="AM48" s="715">
        <f>IF(NFI_Expiration=1,IF($A48&lt;VLOOKUP(S$5,NFI,5,0),1,0)*Data_NFI_t[[#This Row],[Plastic Bucket]],0)</f>
        <v>0</v>
      </c>
      <c r="AN48" s="753">
        <f>IF(NFI_Expiration=1,IF($A48&lt;VLOOKUP(T$5,NFI,5,0),1,0)*Data_NFI_t[[#This Row],[Jerry Can]],0)</f>
        <v>0</v>
      </c>
      <c r="AO48" s="753">
        <f>IF(NFI_Expiration=1,IF($A48&lt;VLOOKUP(U$5,NFI,5,0),1,0)*Data_NFI_t[[#This Row],[Plastic Mat]],0)*IF(Data_NFI_t[[#This Row],[Distribution Date]]&gt;"01-06-2015",1,2.5)</f>
        <v>0</v>
      </c>
      <c r="AP48" s="753">
        <f>IF(NFI_Expiration=1,IF($A48&lt;VLOOKUP(V$5,NFI,5,0),1,0)*Data_NFI_t[[#This Row],[Adult Clothes]],0)</f>
        <v>0</v>
      </c>
      <c r="AQ48" s="753">
        <f>IF(NFI_Expiration=1,IF($A48&lt;VLOOKUP(W$5,NFI,5,0),1,0)*Data_NFI_t[[#This Row],[Children Clothes]],0)</f>
        <v>0</v>
      </c>
      <c r="AR48" s="753">
        <f>IF(NFI_Expiration=1,IF($A48&lt;VLOOKUP(X$5,NFI,5,0),1,0)*Data_NFI_t[[#This Row],[Sewing Kit]],0)</f>
        <v>0</v>
      </c>
      <c r="AS48" s="709">
        <f>IF(NFI_Expiration=1,IF($A48&lt;VLOOKUP(X$5,NFI,5,0),1,0)*Data_NFI_t[[#This Row],[Solar Lantern]],0)</f>
        <v>0</v>
      </c>
      <c r="AT48" s="754" t="str">
        <f ca="1">IFERROR(OFFSET(Camp_List[P_Code],MATCH(Data_NFI_t[[#This Row],[Camp Name]],Camp_List[Camp Name],0)-1,0,1,1),"")</f>
        <v>MMR012CMP045</v>
      </c>
      <c r="AU48" s="755" t="str">
        <f ca="1">IFERROR(OFFSET(Camp_List[Status],MATCH(Data_NFI_t[[#This Row],[Camp Name]],Camp_List[Camp Name],0)-1,0,1,1),"")</f>
        <v>Open</v>
      </c>
      <c r="AV48" s="754"/>
      <c r="AY48" s="747"/>
    </row>
    <row r="49" spans="1:51" s="745" customFormat="1" ht="19.5" customHeight="1" x14ac:dyDescent="0.25">
      <c r="A49" s="711">
        <f t="shared" si="2"/>
        <v>9.5666666666666664</v>
      </c>
      <c r="B49" s="712">
        <f>YEAR(Data_NFI_t[[#This Row],[Distribution Date]])</f>
        <v>2018</v>
      </c>
      <c r="C49" s="912">
        <v>43147</v>
      </c>
      <c r="D49" s="708" t="s">
        <v>1119</v>
      </c>
      <c r="E49" s="708" t="s">
        <v>1119</v>
      </c>
      <c r="F49" s="708" t="s">
        <v>7</v>
      </c>
      <c r="G49" s="713" t="s">
        <v>17</v>
      </c>
      <c r="H49" s="713" t="s">
        <v>586</v>
      </c>
      <c r="I49" s="714"/>
      <c r="J49" s="886">
        <v>2728</v>
      </c>
      <c r="K49" s="886">
        <v>13794</v>
      </c>
      <c r="L49" s="715">
        <v>2728</v>
      </c>
      <c r="M49" s="715"/>
      <c r="N49" s="716"/>
      <c r="O49" s="716"/>
      <c r="P49" s="716"/>
      <c r="Q49" s="716"/>
      <c r="R49" s="716"/>
      <c r="S49" s="716"/>
      <c r="T49" s="717"/>
      <c r="U49" s="716"/>
      <c r="V49" s="970"/>
      <c r="W49" s="970"/>
      <c r="X49" s="716"/>
      <c r="Y49" s="716"/>
      <c r="Z49" s="716"/>
      <c r="AA49" s="716"/>
      <c r="AB49" s="716"/>
      <c r="AC49" s="716"/>
      <c r="AD49" s="753">
        <f>IF(NFI_Expiration=1,IF($A49&lt;VLOOKUP(I$5,NFI,5,0),1,0)*Data_NFI_t[[#This Row],[Hygiene Kit]],0)</f>
        <v>0</v>
      </c>
      <c r="AE49" s="753">
        <f>IF(NFI_Expiration=1,IF($A49&lt;VLOOKUP(L$5,NFI,5,0),1,0)*Data_NFI_t[[#This Row],[NFI Core Kit]],0)</f>
        <v>2728</v>
      </c>
      <c r="AF49" s="715">
        <f>IF(NFI_Expiration=1,IF($A49&lt;VLOOKUP(M$5,NFI,5,0),1,0)*Data_NFI_t[[#This Row],[Sanitary Kit]],0)</f>
        <v>0</v>
      </c>
      <c r="AG49" s="1055">
        <f>IF(NFI_Expiration=1,IF($A49&lt;VLOOKUP(AC$5,NFI,5,0),1,0)*Data_NFI_t[[#This Row],[Rope]],0)</f>
        <v>0</v>
      </c>
      <c r="AH49" s="715">
        <f>IF(NFI_Expiration=1,IF($A49&lt;VLOOKUP(N$5,NFI,5,0),1,0)*Data_NFI_t[[#This Row],[Mosquito net]],0)</f>
        <v>0</v>
      </c>
      <c r="AI49" s="715">
        <f>IF(NFI_Expiration=1,IF($A49&lt;VLOOKUP(O$5,NFI,5,0),1,0)*Data_NFI_t[[#This Row],[Tarpaulin]],0)</f>
        <v>0</v>
      </c>
      <c r="AJ49" s="715">
        <f>IF(NFI_Expiration=1,IF($A49&lt;VLOOKUP(P$5,NFI,5,0),1,0)*Data_NFI_t[[#This Row],[Blanket]],0)</f>
        <v>0</v>
      </c>
      <c r="AK49" s="715">
        <f>IF(NFI_Expiration=1,IF($A49&lt;VLOOKUP(Q$5,NFI,5,0),1,0)*Data_NFI_t[[#This Row],[Kitchen Set]],0)</f>
        <v>0</v>
      </c>
      <c r="AL49" s="715">
        <f>IF(NFI_Expiration=1,IF($A49&lt;VLOOKUP(R$5,NFI,5,0),1,0)*Data_NFI_t[[#This Row],[Complementary Kit]],0)</f>
        <v>0</v>
      </c>
      <c r="AM49" s="715">
        <f>IF(NFI_Expiration=1,IF($A49&lt;VLOOKUP(S$5,NFI,5,0),1,0)*Data_NFI_t[[#This Row],[Plastic Bucket]],0)</f>
        <v>0</v>
      </c>
      <c r="AN49" s="753">
        <f>IF(NFI_Expiration=1,IF($A49&lt;VLOOKUP(T$5,NFI,5,0),1,0)*Data_NFI_t[[#This Row],[Jerry Can]],0)</f>
        <v>0</v>
      </c>
      <c r="AO49" s="753">
        <f>IF(NFI_Expiration=1,IF($A49&lt;VLOOKUP(U$5,NFI,5,0),1,0)*Data_NFI_t[[#This Row],[Plastic Mat]],0)*IF(Data_NFI_t[[#This Row],[Distribution Date]]&gt;"01-06-2015",1,2.5)</f>
        <v>0</v>
      </c>
      <c r="AP49" s="753">
        <f>IF(NFI_Expiration=1,IF($A49&lt;VLOOKUP(V$5,NFI,5,0),1,0)*Data_NFI_t[[#This Row],[Adult Clothes]],0)</f>
        <v>0</v>
      </c>
      <c r="AQ49" s="753">
        <f>IF(NFI_Expiration=1,IF($A49&lt;VLOOKUP(W$5,NFI,5,0),1,0)*Data_NFI_t[[#This Row],[Children Clothes]],0)</f>
        <v>0</v>
      </c>
      <c r="AR49" s="753">
        <f>IF(NFI_Expiration=1,IF($A49&lt;VLOOKUP(X$5,NFI,5,0),1,0)*Data_NFI_t[[#This Row],[Sewing Kit]],0)</f>
        <v>0</v>
      </c>
      <c r="AS49" s="709">
        <f>IF(NFI_Expiration=1,IF($A49&lt;VLOOKUP(X$5,NFI,5,0),1,0)*Data_NFI_t[[#This Row],[Solar Lantern]],0)</f>
        <v>0</v>
      </c>
      <c r="AT49" s="754" t="str">
        <f ca="1">IFERROR(OFFSET(Camp_List[P_Code],MATCH(Data_NFI_t[[#This Row],[Camp Name]],Camp_List[Camp Name],0)-1,0,1,1),"")</f>
        <v>MMR012CMP115</v>
      </c>
      <c r="AU49" s="755" t="str">
        <f ca="1">IFERROR(OFFSET(Camp_List[Status],MATCH(Data_NFI_t[[#This Row],[Camp Name]],Camp_List[Camp Name],0)-1,0,1,1),"")</f>
        <v>Open</v>
      </c>
      <c r="AV49" s="754"/>
      <c r="AY49" s="747"/>
    </row>
    <row r="50" spans="1:51" s="745" customFormat="1" ht="19.5" customHeight="1" x14ac:dyDescent="0.25">
      <c r="A50" s="711">
        <f t="shared" si="2"/>
        <v>10.066666666666666</v>
      </c>
      <c r="B50" s="712">
        <f>YEAR(Data_NFI_t[[#This Row],[Distribution Date]])</f>
        <v>2018</v>
      </c>
      <c r="C50" s="912">
        <v>43132</v>
      </c>
      <c r="D50" s="708" t="s">
        <v>270</v>
      </c>
      <c r="E50" s="708" t="s">
        <v>273</v>
      </c>
      <c r="F50" s="708" t="s">
        <v>7</v>
      </c>
      <c r="G50" s="713" t="s">
        <v>17</v>
      </c>
      <c r="H50" s="713" t="s">
        <v>65</v>
      </c>
      <c r="I50" s="714"/>
      <c r="J50" s="886">
        <v>37</v>
      </c>
      <c r="K50" s="886">
        <v>37</v>
      </c>
      <c r="L50" s="715"/>
      <c r="M50" s="715"/>
      <c r="N50" s="716">
        <v>37</v>
      </c>
      <c r="O50" s="716"/>
      <c r="P50" s="716">
        <v>37</v>
      </c>
      <c r="Q50" s="716">
        <v>37</v>
      </c>
      <c r="R50" s="716"/>
      <c r="S50" s="716"/>
      <c r="T50" s="717"/>
      <c r="U50" s="716">
        <v>111</v>
      </c>
      <c r="V50" s="970"/>
      <c r="W50" s="970"/>
      <c r="X50" s="716"/>
      <c r="Y50" s="716"/>
      <c r="Z50" s="716"/>
      <c r="AA50" s="716"/>
      <c r="AB50" s="716"/>
      <c r="AC50" s="716"/>
      <c r="AD50" s="709">
        <f>IF(NFI_Expiration=1,IF($A50&lt;VLOOKUP(I$5,NFI,5,0),1,0)*Data_NFI_t[[#This Row],[Hygiene Kit]],0)</f>
        <v>0</v>
      </c>
      <c r="AE50" s="709">
        <f>IF(NFI_Expiration=1,IF($A50&lt;VLOOKUP(L$5,NFI,5,0),1,0)*Data_NFI_t[[#This Row],[NFI Core Kit]],0)</f>
        <v>0</v>
      </c>
      <c r="AF50" s="710">
        <f>IF(NFI_Expiration=1,IF($A50&lt;VLOOKUP(M$5,NFI,5,0),1,0)*Data_NFI_t[[#This Row],[Sanitary Kit]],0)</f>
        <v>0</v>
      </c>
      <c r="AG50" s="1055">
        <f>IF(NFI_Expiration=1,IF($A50&lt;VLOOKUP(AC$5,NFI,5,0),1,0)*Data_NFI_t[[#This Row],[Rope]],0)</f>
        <v>0</v>
      </c>
      <c r="AH50" s="710">
        <f>IF(NFI_Expiration=1,IF($A50&lt;VLOOKUP(N$5,NFI,5,0),1,0)*Data_NFI_t[[#This Row],[Mosquito net]],0)</f>
        <v>37</v>
      </c>
      <c r="AI50" s="710">
        <f>IF(NFI_Expiration=1,IF($A50&lt;VLOOKUP(O$5,NFI,5,0),1,0)*Data_NFI_t[[#This Row],[Tarpaulin]],0)</f>
        <v>0</v>
      </c>
      <c r="AJ50" s="710">
        <f>IF(NFI_Expiration=1,IF($A50&lt;VLOOKUP(P$5,NFI,5,0),1,0)*Data_NFI_t[[#This Row],[Blanket]],0)</f>
        <v>37</v>
      </c>
      <c r="AK50" s="710">
        <f>IF(NFI_Expiration=1,IF($A50&lt;VLOOKUP(Q$5,NFI,5,0),1,0)*Data_NFI_t[[#This Row],[Kitchen Set]],0)</f>
        <v>37</v>
      </c>
      <c r="AL50" s="710">
        <f>IF(NFI_Expiration=1,IF($A50&lt;VLOOKUP(R$5,NFI,5,0),1,0)*Data_NFI_t[[#This Row],[Complementary Kit]],0)</f>
        <v>0</v>
      </c>
      <c r="AM50" s="710">
        <f>IF(NFI_Expiration=1,IF($A50&lt;VLOOKUP(S$5,NFI,5,0),1,0)*Data_NFI_t[[#This Row],[Plastic Bucket]],0)</f>
        <v>0</v>
      </c>
      <c r="AN50" s="709">
        <f>IF(NFI_Expiration=1,IF($A50&lt;VLOOKUP(T$5,NFI,5,0),1,0)*Data_NFI_t[[#This Row],[Jerry Can]],0)</f>
        <v>0</v>
      </c>
      <c r="AO50" s="709">
        <f>IF(NFI_Expiration=1,IF($A50&lt;VLOOKUP(U$5,NFI,5,0),1,0)*Data_NFI_t[[#This Row],[Plastic Mat]],0)*IF(Data_NFI_t[[#This Row],[Distribution Date]]&gt;"01-06-2015",1,2.5)</f>
        <v>277.5</v>
      </c>
      <c r="AP50" s="709">
        <f>IF(NFI_Expiration=1,IF($A50&lt;VLOOKUP(V$5,NFI,5,0),1,0)*Data_NFI_t[[#This Row],[Adult Clothes]],0)</f>
        <v>0</v>
      </c>
      <c r="AQ50" s="709">
        <f>IF(NFI_Expiration=1,IF($A50&lt;VLOOKUP(W$5,NFI,5,0),1,0)*Data_NFI_t[[#This Row],[Children Clothes]],0)</f>
        <v>0</v>
      </c>
      <c r="AR50" s="709">
        <f>IF(NFI_Expiration=1,IF($A50&lt;VLOOKUP(X$5,NFI,5,0),1,0)*Data_NFI_t[[#This Row],[Sewing Kit]],0)</f>
        <v>0</v>
      </c>
      <c r="AS50" s="709">
        <f>IF(NFI_Expiration=1,IF($A50&lt;VLOOKUP(X$5,NFI,5,0),1,0)*Data_NFI_t[[#This Row],[Solar Lantern]],0)</f>
        <v>0</v>
      </c>
      <c r="AT50" s="105" t="str">
        <f ca="1">IFERROR(OFFSET(Camp_List[P_Code],MATCH(Data_NFI_t[[#This Row],[Camp Name]],Camp_List[Camp Name],0)-1,0,1,1),"")</f>
        <v>MMR012CMP045</v>
      </c>
      <c r="AU50" s="412" t="str">
        <f ca="1">IFERROR(OFFSET(Camp_List[Status],MATCH(Data_NFI_t[[#This Row],[Camp Name]],Camp_List[Camp Name],0)-1,0,1,1),"")</f>
        <v>Open</v>
      </c>
      <c r="AV50" s="917" t="s">
        <v>1135</v>
      </c>
      <c r="AY50" s="747"/>
    </row>
    <row r="51" spans="1:51" s="745" customFormat="1" ht="20.25" customHeight="1" x14ac:dyDescent="0.25">
      <c r="A51" s="711">
        <f t="shared" si="2"/>
        <v>10.1</v>
      </c>
      <c r="B51" s="712">
        <f>YEAR(Data_NFI_t[[#This Row],[Distribution Date]])</f>
        <v>2018</v>
      </c>
      <c r="C51" s="904">
        <v>43131</v>
      </c>
      <c r="D51" s="708" t="s">
        <v>270</v>
      </c>
      <c r="E51" s="708" t="s">
        <v>575</v>
      </c>
      <c r="F51" s="708" t="s">
        <v>7</v>
      </c>
      <c r="G51" s="713" t="s">
        <v>13</v>
      </c>
      <c r="H51" s="713" t="s">
        <v>38</v>
      </c>
      <c r="I51" s="205"/>
      <c r="J51" s="886">
        <v>857</v>
      </c>
      <c r="K51" s="886">
        <v>4287</v>
      </c>
      <c r="L51" s="715"/>
      <c r="M51" s="715"/>
      <c r="N51" s="716">
        <v>1714</v>
      </c>
      <c r="O51" s="716"/>
      <c r="P51" s="716">
        <v>1714</v>
      </c>
      <c r="Q51" s="716">
        <v>857</v>
      </c>
      <c r="R51" s="716"/>
      <c r="S51" s="716"/>
      <c r="T51" s="717"/>
      <c r="U51" s="716">
        <v>4285</v>
      </c>
      <c r="V51" s="970"/>
      <c r="W51" s="970"/>
      <c r="X51" s="716"/>
      <c r="Y51" s="716"/>
      <c r="Z51" s="716"/>
      <c r="AA51" s="716"/>
      <c r="AB51" s="716"/>
      <c r="AC51" s="716"/>
      <c r="AD51" s="709">
        <f>IF(NFI_Expiration=1,IF($A51&lt;VLOOKUP(I$5,NFI,5,0),1,0)*Data_NFI_t[[#This Row],[Hygiene Kit]],0)</f>
        <v>0</v>
      </c>
      <c r="AE51" s="709">
        <f>IF(NFI_Expiration=1,IF($A51&lt;VLOOKUP(L$5,NFI,5,0),1,0)*Data_NFI_t[[#This Row],[NFI Core Kit]],0)</f>
        <v>0</v>
      </c>
      <c r="AF51" s="710">
        <f>IF(NFI_Expiration=1,IF($A51&lt;VLOOKUP(M$5,NFI,5,0),1,0)*Data_NFI_t[[#This Row],[Sanitary Kit]],0)</f>
        <v>0</v>
      </c>
      <c r="AG51" s="1055">
        <f>IF(NFI_Expiration=1,IF($A51&lt;VLOOKUP(AC$5,NFI,5,0),1,0)*Data_NFI_t[[#This Row],[Rope]],0)</f>
        <v>0</v>
      </c>
      <c r="AH51" s="710">
        <f>IF(NFI_Expiration=1,IF($A51&lt;VLOOKUP(N$5,NFI,5,0),1,0)*Data_NFI_t[[#This Row],[Mosquito net]],0)</f>
        <v>1714</v>
      </c>
      <c r="AI51" s="710">
        <f>IF(NFI_Expiration=1,IF($A51&lt;VLOOKUP(O$5,NFI,5,0),1,0)*Data_NFI_t[[#This Row],[Tarpaulin]],0)</f>
        <v>0</v>
      </c>
      <c r="AJ51" s="710">
        <f>IF(NFI_Expiration=1,IF($A51&lt;VLOOKUP(P$5,NFI,5,0),1,0)*Data_NFI_t[[#This Row],[Blanket]],0)</f>
        <v>1714</v>
      </c>
      <c r="AK51" s="710">
        <f>IF(NFI_Expiration=1,IF($A51&lt;VLOOKUP(Q$5,NFI,5,0),1,0)*Data_NFI_t[[#This Row],[Kitchen Set]],0)</f>
        <v>857</v>
      </c>
      <c r="AL51" s="710">
        <f>IF(NFI_Expiration=1,IF($A51&lt;VLOOKUP(R$5,NFI,5,0),1,0)*Data_NFI_t[[#This Row],[Complementary Kit]],0)</f>
        <v>0</v>
      </c>
      <c r="AM51" s="710">
        <f>IF(NFI_Expiration=1,IF($A51&lt;VLOOKUP(S$5,NFI,5,0),1,0)*Data_NFI_t[[#This Row],[Plastic Bucket]],0)</f>
        <v>0</v>
      </c>
      <c r="AN51" s="709">
        <f>IF(NFI_Expiration=1,IF($A51&lt;VLOOKUP(T$5,NFI,5,0),1,0)*Data_NFI_t[[#This Row],[Jerry Can]],0)</f>
        <v>0</v>
      </c>
      <c r="AO51" s="709">
        <f>IF(NFI_Expiration=1,IF($A51&lt;VLOOKUP(U$5,NFI,5,0),1,0)*Data_NFI_t[[#This Row],[Plastic Mat]],0)</f>
        <v>4285</v>
      </c>
      <c r="AP51" s="709">
        <f>IF(NFI_Expiration=1,IF($A51&lt;VLOOKUP(V$5,NFI,5,0),1,0)*Data_NFI_t[[#This Row],[Adult Clothes]],0)</f>
        <v>0</v>
      </c>
      <c r="AQ51" s="709">
        <f>IF(NFI_Expiration=1,IF($A51&lt;VLOOKUP(W$5,NFI,5,0),1,0)*Data_NFI_t[[#This Row],[Children Clothes]],0)</f>
        <v>0</v>
      </c>
      <c r="AR51" s="709">
        <f>IF(NFI_Expiration=1,IF($A51&lt;VLOOKUP(X$5,NFI,5,0),1,0)*Data_NFI_t[[#This Row],[Sewing Kit]],0)</f>
        <v>0</v>
      </c>
      <c r="AS51" s="709">
        <f>IF(NFI_Expiration=1,IF($A51&lt;VLOOKUP(X$5,NFI,5,0),1,0)*Data_NFI_t[[#This Row],[Solar Lantern]],0)</f>
        <v>0</v>
      </c>
      <c r="AT51" s="105" t="str">
        <f ca="1">IFERROR(OFFSET(Camp_List[P_Code],MATCH(Data_NFI_t[[#This Row],[Camp Name]],Camp_List[Camp Name],0)-1,0,1,1),"")</f>
        <v>MMR012CMP016</v>
      </c>
      <c r="AU51" s="412" t="str">
        <f ca="1">IFERROR(OFFSET(Camp_List[Status],MATCH(Data_NFI_t[[#This Row],[Camp Name]],Camp_List[Camp Name],0)-1,0,1,1),"")</f>
        <v>Open</v>
      </c>
      <c r="AV51" s="105"/>
      <c r="AY51" s="747"/>
    </row>
    <row r="52" spans="1:51" s="745" customFormat="1" ht="20.25" customHeight="1" x14ac:dyDescent="0.25">
      <c r="A52" s="711">
        <f t="shared" si="2"/>
        <v>10.1</v>
      </c>
      <c r="B52" s="712">
        <f>YEAR(Data_NFI_t[[#This Row],[Distribution Date]])</f>
        <v>2018</v>
      </c>
      <c r="C52" s="904">
        <v>43131</v>
      </c>
      <c r="D52" s="708" t="s">
        <v>1119</v>
      </c>
      <c r="E52" s="708" t="s">
        <v>1119</v>
      </c>
      <c r="F52" s="708" t="s">
        <v>7</v>
      </c>
      <c r="G52" s="713" t="s">
        <v>17</v>
      </c>
      <c r="H52" s="713" t="s">
        <v>497</v>
      </c>
      <c r="I52" s="205"/>
      <c r="J52" s="886">
        <v>299</v>
      </c>
      <c r="K52" s="886">
        <v>1644</v>
      </c>
      <c r="L52" s="715">
        <v>299</v>
      </c>
      <c r="M52" s="715"/>
      <c r="N52" s="716"/>
      <c r="O52" s="716"/>
      <c r="P52" s="716"/>
      <c r="Q52" s="716"/>
      <c r="R52" s="716"/>
      <c r="S52" s="716"/>
      <c r="T52" s="717"/>
      <c r="U52" s="716"/>
      <c r="V52" s="887"/>
      <c r="W52" s="970"/>
      <c r="X52" s="716"/>
      <c r="Y52" s="716"/>
      <c r="Z52" s="716"/>
      <c r="AA52" s="716"/>
      <c r="AB52" s="716"/>
      <c r="AC52" s="716"/>
      <c r="AD52" s="709">
        <f>IF(NFI_Expiration=1,IF($A52&lt;VLOOKUP(I$5,NFI,5,0),1,0)*Data_NFI_t[[#This Row],[Hygiene Kit]],0)</f>
        <v>0</v>
      </c>
      <c r="AE52" s="709">
        <f>IF(NFI_Expiration=1,IF($A52&lt;VLOOKUP(L$5,NFI,5,0),1,0)*Data_NFI_t[[#This Row],[NFI Core Kit]],0)</f>
        <v>299</v>
      </c>
      <c r="AF52" s="710">
        <f>IF(NFI_Expiration=1,IF($A52&lt;VLOOKUP(M$5,NFI,5,0),1,0)*Data_NFI_t[[#This Row],[Sanitary Kit]],0)</f>
        <v>0</v>
      </c>
      <c r="AG52" s="1055">
        <f>IF(NFI_Expiration=1,IF($A52&lt;VLOOKUP(AC$5,NFI,5,0),1,0)*Data_NFI_t[[#This Row],[Rope]],0)</f>
        <v>0</v>
      </c>
      <c r="AH52" s="710">
        <f>IF(NFI_Expiration=1,IF($A52&lt;VLOOKUP(N$5,NFI,5,0),1,0)*Data_NFI_t[[#This Row],[Mosquito net]],0)</f>
        <v>0</v>
      </c>
      <c r="AI52" s="710">
        <f>IF(NFI_Expiration=1,IF($A52&lt;VLOOKUP(O$5,NFI,5,0),1,0)*Data_NFI_t[[#This Row],[Tarpaulin]],0)</f>
        <v>0</v>
      </c>
      <c r="AJ52" s="710">
        <f>IF(NFI_Expiration=1,IF($A52&lt;VLOOKUP(P$5,NFI,5,0),1,0)*Data_NFI_t[[#This Row],[Blanket]],0)</f>
        <v>0</v>
      </c>
      <c r="AK52" s="710">
        <f>IF(NFI_Expiration=1,IF($A52&lt;VLOOKUP(Q$5,NFI,5,0),1,0)*Data_NFI_t[[#This Row],[Kitchen Set]],0)</f>
        <v>0</v>
      </c>
      <c r="AL52" s="710">
        <f>IF(NFI_Expiration=1,IF($A52&lt;VLOOKUP(R$5,NFI,5,0),1,0)*Data_NFI_t[[#This Row],[Complementary Kit]],0)</f>
        <v>0</v>
      </c>
      <c r="AM52" s="710">
        <f>IF(NFI_Expiration=1,IF($A52&lt;VLOOKUP(S$5,NFI,5,0),1,0)*Data_NFI_t[[#This Row],[Plastic Bucket]],0)</f>
        <v>0</v>
      </c>
      <c r="AN52" s="709">
        <f>IF(NFI_Expiration=1,IF($A52&lt;VLOOKUP(T$5,NFI,5,0),1,0)*Data_NFI_t[[#This Row],[Jerry Can]],0)</f>
        <v>0</v>
      </c>
      <c r="AO52" s="709">
        <f>IF(NFI_Expiration=1,IF($A52&lt;VLOOKUP(U$5,NFI,5,0),1,0)*Data_NFI_t[[#This Row],[Plastic Mat]],0)*IF(Data_NFI_t[[#This Row],[Distribution Date]]&gt;"01-06-2015",1,2.5)</f>
        <v>0</v>
      </c>
      <c r="AP52" s="709">
        <f>IF(NFI_Expiration=1,IF($A52&lt;VLOOKUP(V$5,NFI,5,0),1,0)*Data_NFI_t[[#This Row],[Adult Clothes]],0)</f>
        <v>0</v>
      </c>
      <c r="AQ52" s="709">
        <f>IF(NFI_Expiration=1,IF($A52&lt;VLOOKUP(W$5,NFI,5,0),1,0)*Data_NFI_t[[#This Row],[Children Clothes]],0)</f>
        <v>0</v>
      </c>
      <c r="AR52" s="709">
        <f>IF(NFI_Expiration=1,IF($A52&lt;VLOOKUP(X$5,NFI,5,0),1,0)*Data_NFI_t[[#This Row],[Sewing Kit]],0)</f>
        <v>0</v>
      </c>
      <c r="AS52" s="709">
        <f>IF(NFI_Expiration=1,IF($A52&lt;VLOOKUP(X$5,NFI,5,0),1,0)*Data_NFI_t[[#This Row],[Solar Lantern]],0)</f>
        <v>0</v>
      </c>
      <c r="AT52" s="105" t="str">
        <f ca="1">IFERROR(OFFSET(Camp_List[P_Code],MATCH(Data_NFI_t[[#This Row],[Camp Name]],Camp_List[Camp Name],0)-1,0,1,1),"")</f>
        <v>MMR012CMP091</v>
      </c>
      <c r="AU52" s="412" t="str">
        <f ca="1">IFERROR(OFFSET(Camp_List[Status],MATCH(Data_NFI_t[[#This Row],[Camp Name]],Camp_List[Camp Name],0)-1,0,1,1),"")</f>
        <v>Open</v>
      </c>
      <c r="AV52" s="105"/>
      <c r="AY52" s="747"/>
    </row>
    <row r="53" spans="1:51" s="745" customFormat="1" ht="20.25" customHeight="1" x14ac:dyDescent="0.25">
      <c r="A53" s="711">
        <f t="shared" si="2"/>
        <v>10.1</v>
      </c>
      <c r="B53" s="712">
        <f>YEAR(Data_NFI_t[[#This Row],[Distribution Date]])</f>
        <v>2018</v>
      </c>
      <c r="C53" s="904">
        <v>43131</v>
      </c>
      <c r="D53" s="708" t="s">
        <v>1119</v>
      </c>
      <c r="E53" s="708" t="s">
        <v>1119</v>
      </c>
      <c r="F53" s="708" t="s">
        <v>7</v>
      </c>
      <c r="G53" s="713" t="s">
        <v>17</v>
      </c>
      <c r="H53" s="713" t="s">
        <v>68</v>
      </c>
      <c r="I53" s="205"/>
      <c r="J53" s="886">
        <v>1013</v>
      </c>
      <c r="K53" s="886">
        <v>5571</v>
      </c>
      <c r="L53" s="715">
        <v>1312</v>
      </c>
      <c r="M53" s="715"/>
      <c r="N53" s="716"/>
      <c r="O53" s="716"/>
      <c r="P53" s="716"/>
      <c r="Q53" s="716"/>
      <c r="R53" s="716"/>
      <c r="S53" s="716"/>
      <c r="T53" s="717"/>
      <c r="U53" s="716"/>
      <c r="V53" s="887"/>
      <c r="W53" s="970"/>
      <c r="X53" s="716"/>
      <c r="Y53" s="716"/>
      <c r="Z53" s="716"/>
      <c r="AA53" s="716"/>
      <c r="AB53" s="716"/>
      <c r="AC53" s="716"/>
      <c r="AD53" s="709">
        <f>IF(NFI_Expiration=1,IF($A53&lt;VLOOKUP(I$5,NFI,5,0),1,0)*Data_NFI_t[[#This Row],[Hygiene Kit]],0)</f>
        <v>0</v>
      </c>
      <c r="AE53" s="709">
        <f>IF(NFI_Expiration=1,IF($A53&lt;VLOOKUP(L$5,NFI,5,0),1,0)*Data_NFI_t[[#This Row],[NFI Core Kit]],0)</f>
        <v>1312</v>
      </c>
      <c r="AF53" s="710">
        <f>IF(NFI_Expiration=1,IF($A53&lt;VLOOKUP(M$5,NFI,5,0),1,0)*Data_NFI_t[[#This Row],[Sanitary Kit]],0)</f>
        <v>0</v>
      </c>
      <c r="AG53" s="1055">
        <f>IF(NFI_Expiration=1,IF($A53&lt;VLOOKUP(AC$5,NFI,5,0),1,0)*Data_NFI_t[[#This Row],[Rope]],0)</f>
        <v>0</v>
      </c>
      <c r="AH53" s="710">
        <f>IF(NFI_Expiration=1,IF($A53&lt;VLOOKUP(N$5,NFI,5,0),1,0)*Data_NFI_t[[#This Row],[Mosquito net]],0)</f>
        <v>0</v>
      </c>
      <c r="AI53" s="710">
        <f>IF(NFI_Expiration=1,IF($A53&lt;VLOOKUP(O$5,NFI,5,0),1,0)*Data_NFI_t[[#This Row],[Tarpaulin]],0)</f>
        <v>0</v>
      </c>
      <c r="AJ53" s="710">
        <f>IF(NFI_Expiration=1,IF($A53&lt;VLOOKUP(P$5,NFI,5,0),1,0)*Data_NFI_t[[#This Row],[Blanket]],0)</f>
        <v>0</v>
      </c>
      <c r="AK53" s="710">
        <f>IF(NFI_Expiration=1,IF($A53&lt;VLOOKUP(Q$5,NFI,5,0),1,0)*Data_NFI_t[[#This Row],[Kitchen Set]],0)</f>
        <v>0</v>
      </c>
      <c r="AL53" s="710">
        <f>IF(NFI_Expiration=1,IF($A53&lt;VLOOKUP(R$5,NFI,5,0),1,0)*Data_NFI_t[[#This Row],[Complementary Kit]],0)</f>
        <v>0</v>
      </c>
      <c r="AM53" s="710">
        <f>IF(NFI_Expiration=1,IF($A53&lt;VLOOKUP(S$5,NFI,5,0),1,0)*Data_NFI_t[[#This Row],[Plastic Bucket]],0)</f>
        <v>0</v>
      </c>
      <c r="AN53" s="709">
        <f>IF(NFI_Expiration=1,IF($A53&lt;VLOOKUP(T$5,NFI,5,0),1,0)*Data_NFI_t[[#This Row],[Jerry Can]],0)</f>
        <v>0</v>
      </c>
      <c r="AO53" s="709">
        <f>IF(NFI_Expiration=1,IF($A53&lt;VLOOKUP(U$5,NFI,5,0),1,0)*Data_NFI_t[[#This Row],[Plastic Mat]],0)*IF(Data_NFI_t[[#This Row],[Distribution Date]]&gt;"01-06-2015",1,2.5)</f>
        <v>0</v>
      </c>
      <c r="AP53" s="709">
        <f>IF(NFI_Expiration=1,IF($A53&lt;VLOOKUP(V$5,NFI,5,0),1,0)*Data_NFI_t[[#This Row],[Adult Clothes]],0)</f>
        <v>0</v>
      </c>
      <c r="AQ53" s="709">
        <f>IF(NFI_Expiration=1,IF($A53&lt;VLOOKUP(W$5,NFI,5,0),1,0)*Data_NFI_t[[#This Row],[Children Clothes]],0)</f>
        <v>0</v>
      </c>
      <c r="AR53" s="709">
        <f>IF(NFI_Expiration=1,IF($A53&lt;VLOOKUP(X$5,NFI,5,0),1,0)*Data_NFI_t[[#This Row],[Sewing Kit]],0)</f>
        <v>0</v>
      </c>
      <c r="AS53" s="709">
        <f>IF(NFI_Expiration=1,IF($A53&lt;VLOOKUP(X$5,NFI,5,0),1,0)*Data_NFI_t[[#This Row],[Solar Lantern]],0)</f>
        <v>0</v>
      </c>
      <c r="AT53" s="105" t="str">
        <f ca="1">IFERROR(OFFSET(Camp_List[P_Code],MATCH(Data_NFI_t[[#This Row],[Camp Name]],Camp_List[Camp Name],0)-1,0,1,1),"")</f>
        <v>MMR012CMP048</v>
      </c>
      <c r="AU53" s="412" t="str">
        <f ca="1">IFERROR(OFFSET(Camp_List[Status],MATCH(Data_NFI_t[[#This Row],[Camp Name]],Camp_List[Camp Name],0)-1,0,1,1),"")</f>
        <v>Open</v>
      </c>
      <c r="AV53" s="105"/>
      <c r="AY53" s="747"/>
    </row>
    <row r="54" spans="1:51" s="745" customFormat="1" ht="20.25" customHeight="1" x14ac:dyDescent="0.25">
      <c r="A54" s="711">
        <f t="shared" si="2"/>
        <v>10.1</v>
      </c>
      <c r="B54" s="712">
        <f>YEAR(Data_NFI_t[[#This Row],[Distribution Date]])</f>
        <v>2018</v>
      </c>
      <c r="C54" s="904">
        <v>43131</v>
      </c>
      <c r="D54" s="708" t="s">
        <v>1119</v>
      </c>
      <c r="E54" s="708" t="s">
        <v>1119</v>
      </c>
      <c r="F54" s="708" t="s">
        <v>7</v>
      </c>
      <c r="G54" s="713" t="s">
        <v>17</v>
      </c>
      <c r="H54" s="713" t="s">
        <v>580</v>
      </c>
      <c r="I54" s="205"/>
      <c r="J54" s="886">
        <v>656</v>
      </c>
      <c r="K54" s="886">
        <v>3608</v>
      </c>
      <c r="L54" s="715">
        <v>656</v>
      </c>
      <c r="M54" s="715"/>
      <c r="N54" s="716"/>
      <c r="O54" s="716"/>
      <c r="P54" s="716"/>
      <c r="Q54" s="716"/>
      <c r="R54" s="716"/>
      <c r="S54" s="716"/>
      <c r="T54" s="717"/>
      <c r="U54" s="716"/>
      <c r="V54" s="887"/>
      <c r="W54" s="887"/>
      <c r="X54" s="716"/>
      <c r="Y54" s="716"/>
      <c r="Z54" s="716"/>
      <c r="AA54" s="716"/>
      <c r="AB54" s="716"/>
      <c r="AC54" s="716"/>
      <c r="AD54" s="709">
        <f>IF(NFI_Expiration=1,IF($A54&lt;VLOOKUP(I$5,NFI,5,0),1,0)*Data_NFI_t[[#This Row],[Hygiene Kit]],0)</f>
        <v>0</v>
      </c>
      <c r="AE54" s="709">
        <f>IF(NFI_Expiration=1,IF($A54&lt;VLOOKUP(L$5,NFI,5,0),1,0)*Data_NFI_t[[#This Row],[NFI Core Kit]],0)</f>
        <v>656</v>
      </c>
      <c r="AF54" s="710">
        <f>IF(NFI_Expiration=1,IF($A54&lt;VLOOKUP(M$5,NFI,5,0),1,0)*Data_NFI_t[[#This Row],[Sanitary Kit]],0)</f>
        <v>0</v>
      </c>
      <c r="AG54" s="1055">
        <f>IF(NFI_Expiration=1,IF($A54&lt;VLOOKUP(AC$5,NFI,5,0),1,0)*Data_NFI_t[[#This Row],[Rope]],0)</f>
        <v>0</v>
      </c>
      <c r="AH54" s="710">
        <f>IF(NFI_Expiration=1,IF($A54&lt;VLOOKUP(N$5,NFI,5,0),1,0)*Data_NFI_t[[#This Row],[Mosquito net]],0)</f>
        <v>0</v>
      </c>
      <c r="AI54" s="710">
        <f>IF(NFI_Expiration=1,IF($A54&lt;VLOOKUP(O$5,NFI,5,0),1,0)*Data_NFI_t[[#This Row],[Tarpaulin]],0)</f>
        <v>0</v>
      </c>
      <c r="AJ54" s="710">
        <f>IF(NFI_Expiration=1,IF($A54&lt;VLOOKUP(P$5,NFI,5,0),1,0)*Data_NFI_t[[#This Row],[Blanket]],0)</f>
        <v>0</v>
      </c>
      <c r="AK54" s="710">
        <f>IF(NFI_Expiration=1,IF($A54&lt;VLOOKUP(Q$5,NFI,5,0),1,0)*Data_NFI_t[[#This Row],[Kitchen Set]],0)</f>
        <v>0</v>
      </c>
      <c r="AL54" s="710">
        <f>IF(NFI_Expiration=1,IF($A54&lt;VLOOKUP(R$5,NFI,5,0),1,0)*Data_NFI_t[[#This Row],[Complementary Kit]],0)</f>
        <v>0</v>
      </c>
      <c r="AM54" s="710">
        <f>IF(NFI_Expiration=1,IF($A54&lt;VLOOKUP(S$5,NFI,5,0),1,0)*Data_NFI_t[[#This Row],[Plastic Bucket]],0)</f>
        <v>0</v>
      </c>
      <c r="AN54" s="709">
        <f>IF(NFI_Expiration=1,IF($A54&lt;VLOOKUP(T$5,NFI,5,0),1,0)*Data_NFI_t[[#This Row],[Jerry Can]],0)</f>
        <v>0</v>
      </c>
      <c r="AO54" s="709">
        <f>IF(NFI_Expiration=1,IF($A54&lt;VLOOKUP(U$5,NFI,5,0),1,0)*Data_NFI_t[[#This Row],[Plastic Mat]],0)*IF(Data_NFI_t[[#This Row],[Distribution Date]]&gt;"01-06-2015",1,2.5)</f>
        <v>0</v>
      </c>
      <c r="AP54" s="709">
        <f>IF(NFI_Expiration=1,IF($A54&lt;VLOOKUP(V$5,NFI,5,0),1,0)*Data_NFI_t[[#This Row],[Adult Clothes]],0)</f>
        <v>0</v>
      </c>
      <c r="AQ54" s="709">
        <f>IF(NFI_Expiration=1,IF($A54&lt;VLOOKUP(W$5,NFI,5,0),1,0)*Data_NFI_t[[#This Row],[Children Clothes]],0)</f>
        <v>0</v>
      </c>
      <c r="AR54" s="709">
        <f>IF(NFI_Expiration=1,IF($A54&lt;VLOOKUP(X$5,NFI,5,0),1,0)*Data_NFI_t[[#This Row],[Sewing Kit]],0)</f>
        <v>0</v>
      </c>
      <c r="AS54" s="709">
        <f>IF(NFI_Expiration=1,IF($A54&lt;VLOOKUP(X$5,NFI,5,0),1,0)*Data_NFI_t[[#This Row],[Solar Lantern]],0)</f>
        <v>0</v>
      </c>
      <c r="AT54" s="105" t="str">
        <f ca="1">IFERROR(OFFSET(Camp_List[P_Code],MATCH(Data_NFI_t[[#This Row],[Camp Name]],Camp_List[Camp Name],0)-1,0,1,1),"")</f>
        <v>MMR012CMP092</v>
      </c>
      <c r="AU54" s="412" t="str">
        <f ca="1">IFERROR(OFFSET(Camp_List[Status],MATCH(Data_NFI_t[[#This Row],[Camp Name]],Camp_List[Camp Name],0)-1,0,1,1),"")</f>
        <v>Open</v>
      </c>
      <c r="AV54" s="105"/>
      <c r="AY54" s="747"/>
    </row>
    <row r="55" spans="1:51" s="745" customFormat="1" ht="20.25" customHeight="1" x14ac:dyDescent="0.25">
      <c r="A55" s="711">
        <f t="shared" si="2"/>
        <v>10.133333333333333</v>
      </c>
      <c r="B55" s="712">
        <f>YEAR(Data_NFI_t[[#This Row],[Distribution Date]])</f>
        <v>2018</v>
      </c>
      <c r="C55" s="904">
        <v>43130</v>
      </c>
      <c r="D55" s="708" t="s">
        <v>1119</v>
      </c>
      <c r="E55" s="708" t="s">
        <v>1119</v>
      </c>
      <c r="F55" s="708" t="s">
        <v>7</v>
      </c>
      <c r="G55" s="713" t="s">
        <v>17</v>
      </c>
      <c r="H55" s="713" t="s">
        <v>65</v>
      </c>
      <c r="I55" s="205"/>
      <c r="J55" s="886">
        <v>2280</v>
      </c>
      <c r="K55" s="886">
        <v>12540</v>
      </c>
      <c r="L55" s="715">
        <v>2280</v>
      </c>
      <c r="M55" s="715"/>
      <c r="N55" s="716"/>
      <c r="O55" s="716"/>
      <c r="P55" s="716"/>
      <c r="Q55" s="716"/>
      <c r="R55" s="716"/>
      <c r="S55" s="716"/>
      <c r="T55" s="717"/>
      <c r="U55" s="716"/>
      <c r="V55" s="887"/>
      <c r="W55" s="887"/>
      <c r="X55" s="716"/>
      <c r="Y55" s="716"/>
      <c r="Z55" s="716"/>
      <c r="AA55" s="716"/>
      <c r="AB55" s="716"/>
      <c r="AC55" s="716"/>
      <c r="AD55" s="709">
        <f>IF(NFI_Expiration=1,IF($A55&lt;VLOOKUP(I$5,NFI,5,0),1,0)*Data_NFI_t[[#This Row],[Hygiene Kit]],0)</f>
        <v>0</v>
      </c>
      <c r="AE55" s="709">
        <f>IF(NFI_Expiration=1,IF($A55&lt;VLOOKUP(L$5,NFI,5,0),1,0)*Data_NFI_t[[#This Row],[NFI Core Kit]],0)</f>
        <v>2280</v>
      </c>
      <c r="AF55" s="710">
        <f>IF(NFI_Expiration=1,IF($A55&lt;VLOOKUP(M$5,NFI,5,0),1,0)*Data_NFI_t[[#This Row],[Sanitary Kit]],0)</f>
        <v>0</v>
      </c>
      <c r="AG55" s="1055">
        <f>IF(NFI_Expiration=1,IF($A55&lt;VLOOKUP(AC$5,NFI,5,0),1,0)*Data_NFI_t[[#This Row],[Rope]],0)</f>
        <v>0</v>
      </c>
      <c r="AH55" s="710">
        <f>IF(NFI_Expiration=1,IF($A55&lt;VLOOKUP(N$5,NFI,5,0),1,0)*Data_NFI_t[[#This Row],[Mosquito net]],0)</f>
        <v>0</v>
      </c>
      <c r="AI55" s="710">
        <f>IF(NFI_Expiration=1,IF($A55&lt;VLOOKUP(O$5,NFI,5,0),1,0)*Data_NFI_t[[#This Row],[Tarpaulin]],0)</f>
        <v>0</v>
      </c>
      <c r="AJ55" s="710">
        <f>IF(NFI_Expiration=1,IF($A55&lt;VLOOKUP(P$5,NFI,5,0),1,0)*Data_NFI_t[[#This Row],[Blanket]],0)</f>
        <v>0</v>
      </c>
      <c r="AK55" s="710">
        <f>IF(NFI_Expiration=1,IF($A55&lt;VLOOKUP(Q$5,NFI,5,0),1,0)*Data_NFI_t[[#This Row],[Kitchen Set]],0)</f>
        <v>0</v>
      </c>
      <c r="AL55" s="710">
        <f>IF(NFI_Expiration=1,IF($A55&lt;VLOOKUP(R$5,NFI,5,0),1,0)*Data_NFI_t[[#This Row],[Complementary Kit]],0)</f>
        <v>0</v>
      </c>
      <c r="AM55" s="710">
        <f>IF(NFI_Expiration=1,IF($A55&lt;VLOOKUP(S$5,NFI,5,0),1,0)*Data_NFI_t[[#This Row],[Plastic Bucket]],0)</f>
        <v>0</v>
      </c>
      <c r="AN55" s="709">
        <f>IF(NFI_Expiration=1,IF($A55&lt;VLOOKUP(T$5,NFI,5,0),1,0)*Data_NFI_t[[#This Row],[Jerry Can]],0)</f>
        <v>0</v>
      </c>
      <c r="AO55" s="709">
        <f>IF(NFI_Expiration=1,IF($A55&lt;VLOOKUP(U$5,NFI,5,0),1,0)*Data_NFI_t[[#This Row],[Plastic Mat]],0)*IF(Data_NFI_t[[#This Row],[Distribution Date]]&gt;"01-06-2015",1,2.5)</f>
        <v>0</v>
      </c>
      <c r="AP55" s="709">
        <f>IF(NFI_Expiration=1,IF($A55&lt;VLOOKUP(V$5,NFI,5,0),1,0)*Data_NFI_t[[#This Row],[Adult Clothes]],0)</f>
        <v>0</v>
      </c>
      <c r="AQ55" s="709">
        <f>IF(NFI_Expiration=1,IF($A55&lt;VLOOKUP(W$5,NFI,5,0),1,0)*Data_NFI_t[[#This Row],[Children Clothes]],0)</f>
        <v>0</v>
      </c>
      <c r="AR55" s="709">
        <f>IF(NFI_Expiration=1,IF($A55&lt;VLOOKUP(X$5,NFI,5,0),1,0)*Data_NFI_t[[#This Row],[Sewing Kit]],0)</f>
        <v>0</v>
      </c>
      <c r="AS55" s="709">
        <f>IF(NFI_Expiration=1,IF($A55&lt;VLOOKUP(X$5,NFI,5,0),1,0)*Data_NFI_t[[#This Row],[Solar Lantern]],0)</f>
        <v>0</v>
      </c>
      <c r="AT55" s="105" t="str">
        <f ca="1">IFERROR(OFFSET(Camp_List[P_Code],MATCH(Data_NFI_t[[#This Row],[Camp Name]],Camp_List[Camp Name],0)-1,0,1,1),"")</f>
        <v>MMR012CMP045</v>
      </c>
      <c r="AU55" s="412" t="str">
        <f ca="1">IFERROR(OFFSET(Camp_List[Status],MATCH(Data_NFI_t[[#This Row],[Camp Name]],Camp_List[Camp Name],0)-1,0,1,1),"")</f>
        <v>Open</v>
      </c>
      <c r="AV55" s="105"/>
      <c r="AY55" s="747"/>
    </row>
    <row r="56" spans="1:51" s="745" customFormat="1" ht="14.25" customHeight="1" x14ac:dyDescent="0.25">
      <c r="A56" s="711">
        <f t="shared" si="2"/>
        <v>10.133333333333333</v>
      </c>
      <c r="B56" s="712">
        <f>YEAR(Data_NFI_t[[#This Row],[Distribution Date]])</f>
        <v>2018</v>
      </c>
      <c r="C56" s="904">
        <v>43130</v>
      </c>
      <c r="D56" s="708" t="s">
        <v>1119</v>
      </c>
      <c r="E56" s="708" t="s">
        <v>1119</v>
      </c>
      <c r="F56" s="708" t="s">
        <v>7</v>
      </c>
      <c r="G56" s="713" t="s">
        <v>17</v>
      </c>
      <c r="H56" s="713" t="s">
        <v>586</v>
      </c>
      <c r="I56" s="205"/>
      <c r="J56" s="886">
        <v>2728</v>
      </c>
      <c r="K56" s="886">
        <v>15004</v>
      </c>
      <c r="L56" s="715">
        <v>2728</v>
      </c>
      <c r="M56" s="715"/>
      <c r="N56" s="716"/>
      <c r="O56" s="716"/>
      <c r="P56" s="716"/>
      <c r="Q56" s="716"/>
      <c r="R56" s="716"/>
      <c r="S56" s="716"/>
      <c r="T56" s="717"/>
      <c r="U56" s="716"/>
      <c r="V56" s="887"/>
      <c r="W56" s="887"/>
      <c r="X56" s="716"/>
      <c r="Y56" s="716"/>
      <c r="Z56" s="716"/>
      <c r="AA56" s="716"/>
      <c r="AB56" s="716"/>
      <c r="AC56" s="716"/>
      <c r="AD56" s="709">
        <f>IF(NFI_Expiration=1,IF($A56&lt;VLOOKUP(I$5,NFI,5,0),1,0)*Data_NFI_t[[#This Row],[Hygiene Kit]],0)</f>
        <v>0</v>
      </c>
      <c r="AE56" s="709">
        <f>IF(NFI_Expiration=1,IF($A56&lt;VLOOKUP(L$5,NFI,5,0),1,0)*Data_NFI_t[[#This Row],[NFI Core Kit]],0)</f>
        <v>2728</v>
      </c>
      <c r="AF56" s="710">
        <f>IF(NFI_Expiration=1,IF($A56&lt;VLOOKUP(M$5,NFI,5,0),1,0)*Data_NFI_t[[#This Row],[Sanitary Kit]],0)</f>
        <v>0</v>
      </c>
      <c r="AG56" s="1055">
        <f>IF(NFI_Expiration=1,IF($A56&lt;VLOOKUP(AC$5,NFI,5,0),1,0)*Data_NFI_t[[#This Row],[Rope]],0)</f>
        <v>0</v>
      </c>
      <c r="AH56" s="710">
        <f>IF(NFI_Expiration=1,IF($A56&lt;VLOOKUP(N$5,NFI,5,0),1,0)*Data_NFI_t[[#This Row],[Mosquito net]],0)</f>
        <v>0</v>
      </c>
      <c r="AI56" s="710">
        <f>IF(NFI_Expiration=1,IF($A56&lt;VLOOKUP(O$5,NFI,5,0),1,0)*Data_NFI_t[[#This Row],[Tarpaulin]],0)</f>
        <v>0</v>
      </c>
      <c r="AJ56" s="710">
        <f>IF(NFI_Expiration=1,IF($A56&lt;VLOOKUP(P$5,NFI,5,0),1,0)*Data_NFI_t[[#This Row],[Blanket]],0)</f>
        <v>0</v>
      </c>
      <c r="AK56" s="710">
        <f>IF(NFI_Expiration=1,IF($A56&lt;VLOOKUP(Q$5,NFI,5,0),1,0)*Data_NFI_t[[#This Row],[Kitchen Set]],0)</f>
        <v>0</v>
      </c>
      <c r="AL56" s="710">
        <f>IF(NFI_Expiration=1,IF($A56&lt;VLOOKUP(R$5,NFI,5,0),1,0)*Data_NFI_t[[#This Row],[Complementary Kit]],0)</f>
        <v>0</v>
      </c>
      <c r="AM56" s="710">
        <f>IF(NFI_Expiration=1,IF($A56&lt;VLOOKUP(S$5,NFI,5,0),1,0)*Data_NFI_t[[#This Row],[Plastic Bucket]],0)</f>
        <v>0</v>
      </c>
      <c r="AN56" s="709">
        <f>IF(NFI_Expiration=1,IF($A56&lt;VLOOKUP(T$5,NFI,5,0),1,0)*Data_NFI_t[[#This Row],[Jerry Can]],0)</f>
        <v>0</v>
      </c>
      <c r="AO56" s="709">
        <f>IF(NFI_Expiration=1,IF($A56&lt;VLOOKUP(U$5,NFI,5,0),1,0)*Data_NFI_t[[#This Row],[Plastic Mat]],0)*IF(Data_NFI_t[[#This Row],[Distribution Date]]&gt;"01-06-2015",1,2.5)</f>
        <v>0</v>
      </c>
      <c r="AP56" s="709">
        <f>IF(NFI_Expiration=1,IF($A56&lt;VLOOKUP(V$5,NFI,5,0),1,0)*Data_NFI_t[[#This Row],[Adult Clothes]],0)</f>
        <v>0</v>
      </c>
      <c r="AQ56" s="709">
        <f>IF(NFI_Expiration=1,IF($A56&lt;VLOOKUP(W$5,NFI,5,0),1,0)*Data_NFI_t[[#This Row],[Children Clothes]],0)</f>
        <v>0</v>
      </c>
      <c r="AR56" s="709">
        <f>IF(NFI_Expiration=1,IF($A56&lt;VLOOKUP(X$5,NFI,5,0),1,0)*Data_NFI_t[[#This Row],[Sewing Kit]],0)</f>
        <v>0</v>
      </c>
      <c r="AS56" s="709">
        <f>IF(NFI_Expiration=1,IF($A56&lt;VLOOKUP(X$5,NFI,5,0),1,0)*Data_NFI_t[[#This Row],[Solar Lantern]],0)</f>
        <v>0</v>
      </c>
      <c r="AT56" s="105" t="str">
        <f ca="1">IFERROR(OFFSET(Camp_List[P_Code],MATCH(Data_NFI_t[[#This Row],[Camp Name]],Camp_List[Camp Name],0)-1,0,1,1),"")</f>
        <v>MMR012CMP115</v>
      </c>
      <c r="AU56" s="412" t="str">
        <f ca="1">IFERROR(OFFSET(Camp_List[Status],MATCH(Data_NFI_t[[#This Row],[Camp Name]],Camp_List[Camp Name],0)-1,0,1,1),"")</f>
        <v>Open</v>
      </c>
      <c r="AV56" s="105"/>
      <c r="AY56" s="747"/>
    </row>
    <row r="57" spans="1:51" s="745" customFormat="1" ht="14.25" customHeight="1" x14ac:dyDescent="0.25">
      <c r="A57" s="711">
        <f t="shared" si="2"/>
        <v>10.133333333333333</v>
      </c>
      <c r="B57" s="712">
        <f>YEAR(Data_NFI_t[[#This Row],[Distribution Date]])</f>
        <v>2018</v>
      </c>
      <c r="C57" s="904">
        <v>43130</v>
      </c>
      <c r="D57" s="708" t="s">
        <v>282</v>
      </c>
      <c r="E57" s="708" t="s">
        <v>282</v>
      </c>
      <c r="F57" s="708" t="s">
        <v>7</v>
      </c>
      <c r="G57" s="713" t="s">
        <v>17</v>
      </c>
      <c r="H57" s="713" t="s">
        <v>587</v>
      </c>
      <c r="I57" s="205"/>
      <c r="J57" s="886">
        <v>300</v>
      </c>
      <c r="K57" s="886">
        <v>1500</v>
      </c>
      <c r="L57" s="715"/>
      <c r="M57" s="715"/>
      <c r="N57" s="716">
        <v>600</v>
      </c>
      <c r="O57" s="716"/>
      <c r="P57" s="716"/>
      <c r="Q57" s="716">
        <v>300</v>
      </c>
      <c r="R57" s="716"/>
      <c r="S57" s="716"/>
      <c r="T57" s="717"/>
      <c r="U57" s="716">
        <v>300</v>
      </c>
      <c r="V57" s="887"/>
      <c r="W57" s="887"/>
      <c r="X57" s="716"/>
      <c r="Y57" s="716">
        <v>300</v>
      </c>
      <c r="Z57" s="716"/>
      <c r="AA57" s="716"/>
      <c r="AB57" s="716"/>
      <c r="AC57" s="716"/>
      <c r="AD57" s="709">
        <f>IF(NFI_Expiration=1,IF($A57&lt;VLOOKUP(I$5,NFI,5,0),1,0)*Data_NFI_t[[#This Row],[Hygiene Kit]],0)</f>
        <v>0</v>
      </c>
      <c r="AE57" s="709">
        <f>IF(NFI_Expiration=1,IF($A57&lt;VLOOKUP(L$5,NFI,5,0),1,0)*Data_NFI_t[[#This Row],[NFI Core Kit]],0)</f>
        <v>0</v>
      </c>
      <c r="AF57" s="710">
        <f>IF(NFI_Expiration=1,IF($A57&lt;VLOOKUP(M$5,NFI,5,0),1,0)*Data_NFI_t[[#This Row],[Sanitary Kit]],0)</f>
        <v>0</v>
      </c>
      <c r="AG57" s="1055">
        <f>IF(NFI_Expiration=1,IF($A57&lt;VLOOKUP(AC$5,NFI,5,0),1,0)*Data_NFI_t[[#This Row],[Rope]],0)</f>
        <v>0</v>
      </c>
      <c r="AH57" s="710">
        <f>IF(NFI_Expiration=1,IF($A57&lt;VLOOKUP(N$5,NFI,5,0),1,0)*Data_NFI_t[[#This Row],[Mosquito net]],0)</f>
        <v>600</v>
      </c>
      <c r="AI57" s="710">
        <f>IF(NFI_Expiration=1,IF($A57&lt;VLOOKUP(O$5,NFI,5,0),1,0)*Data_NFI_t[[#This Row],[Tarpaulin]],0)</f>
        <v>0</v>
      </c>
      <c r="AJ57" s="710">
        <f>IF(NFI_Expiration=1,IF($A57&lt;VLOOKUP(P$5,NFI,5,0),1,0)*Data_NFI_t[[#This Row],[Blanket]],0)</f>
        <v>0</v>
      </c>
      <c r="AK57" s="710">
        <f>IF(NFI_Expiration=1,IF($A57&lt;VLOOKUP(Q$5,NFI,5,0),1,0)*Data_NFI_t[[#This Row],[Kitchen Set]],0)</f>
        <v>300</v>
      </c>
      <c r="AL57" s="710">
        <f>IF(NFI_Expiration=1,IF($A57&lt;VLOOKUP(R$5,NFI,5,0),1,0)*Data_NFI_t[[#This Row],[Complementary Kit]],0)</f>
        <v>0</v>
      </c>
      <c r="AM57" s="710">
        <f>IF(NFI_Expiration=1,IF($A57&lt;VLOOKUP(S$5,NFI,5,0),1,0)*Data_NFI_t[[#This Row],[Plastic Bucket]],0)</f>
        <v>0</v>
      </c>
      <c r="AN57" s="709">
        <f>IF(NFI_Expiration=1,IF($A57&lt;VLOOKUP(T$5,NFI,5,0),1,0)*Data_NFI_t[[#This Row],[Jerry Can]],0)</f>
        <v>0</v>
      </c>
      <c r="AO57" s="709">
        <f>IF(NFI_Expiration=1,IF($A57&lt;VLOOKUP(U$5,NFI,5,0),1,0)*Data_NFI_t[[#This Row],[Plastic Mat]],0)</f>
        <v>300</v>
      </c>
      <c r="AP57" s="709">
        <f>IF(NFI_Expiration=1,IF($A57&lt;VLOOKUP(V$5,NFI,5,0),1,0)*Data_NFI_t[[#This Row],[Adult Clothes]],0)</f>
        <v>0</v>
      </c>
      <c r="AQ57" s="709">
        <f>IF(NFI_Expiration=1,IF($A57&lt;VLOOKUP(W$5,NFI,5,0),1,0)*Data_NFI_t[[#This Row],[Children Clothes]],0)</f>
        <v>0</v>
      </c>
      <c r="AR57" s="709">
        <f>IF(NFI_Expiration=1,IF($A57&lt;VLOOKUP(X$5,NFI,5,0),1,0)*Data_NFI_t[[#This Row],[Sewing Kit]],0)</f>
        <v>0</v>
      </c>
      <c r="AS57" s="709">
        <f>IF(NFI_Expiration=1,IF($A57&lt;VLOOKUP(X$5,NFI,5,0),1,0)*Data_NFI_t[[#This Row],[Solar Lantern]],0)</f>
        <v>300</v>
      </c>
      <c r="AT57" s="105" t="str">
        <f ca="1">IFERROR(OFFSET(Camp_List[P_Code],MATCH(Data_NFI_t[[#This Row],[Camp Name]],Camp_List[Camp Name],0)-1,0,1,1),"")</f>
        <v>MMR012CMP116</v>
      </c>
      <c r="AU57" s="412" t="str">
        <f ca="1">IFERROR(OFFSET(Camp_List[Status],MATCH(Data_NFI_t[[#This Row],[Camp Name]],Camp_List[Camp Name],0)-1,0,1,1),"")</f>
        <v>Open</v>
      </c>
      <c r="AV57" s="105"/>
      <c r="AY57" s="747"/>
    </row>
    <row r="58" spans="1:51" s="745" customFormat="1" ht="14.25" customHeight="1" x14ac:dyDescent="0.25">
      <c r="A58" s="711">
        <f t="shared" si="2"/>
        <v>10.866666666666667</v>
      </c>
      <c r="B58" s="712">
        <f>YEAR(Data_NFI_t[[#This Row],[Distribution Date]])</f>
        <v>2018</v>
      </c>
      <c r="C58" s="904">
        <v>43108</v>
      </c>
      <c r="D58" s="708" t="s">
        <v>270</v>
      </c>
      <c r="E58" s="708" t="s">
        <v>273</v>
      </c>
      <c r="F58" s="708" t="s">
        <v>7</v>
      </c>
      <c r="G58" s="713" t="s">
        <v>17</v>
      </c>
      <c r="H58" s="713" t="s">
        <v>586</v>
      </c>
      <c r="I58" s="205"/>
      <c r="J58" s="886">
        <v>22</v>
      </c>
      <c r="K58" s="886">
        <v>22</v>
      </c>
      <c r="L58" s="715"/>
      <c r="M58" s="715"/>
      <c r="N58" s="716">
        <v>22</v>
      </c>
      <c r="O58" s="716"/>
      <c r="P58" s="716">
        <v>22</v>
      </c>
      <c r="Q58" s="716">
        <v>22</v>
      </c>
      <c r="R58" s="716"/>
      <c r="S58" s="716"/>
      <c r="T58" s="717"/>
      <c r="U58" s="716">
        <v>66</v>
      </c>
      <c r="V58" s="887"/>
      <c r="W58" s="887"/>
      <c r="X58" s="716"/>
      <c r="Y58" s="716"/>
      <c r="Z58" s="716"/>
      <c r="AA58" s="716"/>
      <c r="AB58" s="716"/>
      <c r="AC58" s="716"/>
      <c r="AD58" s="709">
        <f>IF(NFI_Expiration=1,IF($A58&lt;VLOOKUP(I$5,NFI,5,0),1,0)*Data_NFI_t[[#This Row],[Hygiene Kit]],0)</f>
        <v>0</v>
      </c>
      <c r="AE58" s="709">
        <f>IF(NFI_Expiration=1,IF($A58&lt;VLOOKUP(L$5,NFI,5,0),1,0)*Data_NFI_t[[#This Row],[NFI Core Kit]],0)</f>
        <v>0</v>
      </c>
      <c r="AF58" s="710">
        <f>IF(NFI_Expiration=1,IF($A58&lt;VLOOKUP(M$5,NFI,5,0),1,0)*Data_NFI_t[[#This Row],[Sanitary Kit]],0)</f>
        <v>0</v>
      </c>
      <c r="AG58" s="1055">
        <f>IF(NFI_Expiration=1,IF($A58&lt;VLOOKUP(AC$5,NFI,5,0),1,0)*Data_NFI_t[[#This Row],[Rope]],0)</f>
        <v>0</v>
      </c>
      <c r="AH58" s="710">
        <f>IF(NFI_Expiration=1,IF($A58&lt;VLOOKUP(N$5,NFI,5,0),1,0)*Data_NFI_t[[#This Row],[Mosquito net]],0)</f>
        <v>22</v>
      </c>
      <c r="AI58" s="710">
        <f>IF(NFI_Expiration=1,IF($A58&lt;VLOOKUP(O$5,NFI,5,0),1,0)*Data_NFI_t[[#This Row],[Tarpaulin]],0)</f>
        <v>0</v>
      </c>
      <c r="AJ58" s="710">
        <f>IF(NFI_Expiration=1,IF($A58&lt;VLOOKUP(P$5,NFI,5,0),1,0)*Data_NFI_t[[#This Row],[Blanket]],0)</f>
        <v>22</v>
      </c>
      <c r="AK58" s="710">
        <f>IF(NFI_Expiration=1,IF($A58&lt;VLOOKUP(Q$5,NFI,5,0),1,0)*Data_NFI_t[[#This Row],[Kitchen Set]],0)</f>
        <v>22</v>
      </c>
      <c r="AL58" s="710">
        <f>IF(NFI_Expiration=1,IF($A58&lt;VLOOKUP(R$5,NFI,5,0),1,0)*Data_NFI_t[[#This Row],[Complementary Kit]],0)</f>
        <v>0</v>
      </c>
      <c r="AM58" s="710">
        <f>IF(NFI_Expiration=1,IF($A58&lt;VLOOKUP(S$5,NFI,5,0),1,0)*Data_NFI_t[[#This Row],[Plastic Bucket]],0)</f>
        <v>0</v>
      </c>
      <c r="AN58" s="709">
        <f>IF(NFI_Expiration=1,IF($A58&lt;VLOOKUP(T$5,NFI,5,0),1,0)*Data_NFI_t[[#This Row],[Jerry Can]],0)</f>
        <v>0</v>
      </c>
      <c r="AO58" s="709">
        <f>IF(NFI_Expiration=1,IF($A58&lt;VLOOKUP(U$5,NFI,5,0),1,0)*Data_NFI_t[[#This Row],[Plastic Mat]],0)</f>
        <v>66</v>
      </c>
      <c r="AP58" s="709">
        <f>IF(NFI_Expiration=1,IF($A58&lt;VLOOKUP(V$5,NFI,5,0),1,0)*Data_NFI_t[[#This Row],[Adult Clothes]],0)</f>
        <v>0</v>
      </c>
      <c r="AQ58" s="709">
        <f>IF(NFI_Expiration=1,IF($A58&lt;VLOOKUP(W$5,NFI,5,0),1,0)*Data_NFI_t[[#This Row],[Children Clothes]],0)</f>
        <v>0</v>
      </c>
      <c r="AR58" s="709">
        <f>IF(NFI_Expiration=1,IF($A58&lt;VLOOKUP(X$5,NFI,5,0),1,0)*Data_NFI_t[[#This Row],[Sewing Kit]],0)</f>
        <v>0</v>
      </c>
      <c r="AS58" s="709">
        <f>IF(NFI_Expiration=1,IF($A58&lt;VLOOKUP(X$5,NFI,5,0),1,0)*Data_NFI_t[[#This Row],[Solar Lantern]],0)</f>
        <v>0</v>
      </c>
      <c r="AT58" s="105" t="str">
        <f ca="1">IFERROR(OFFSET(Camp_List[P_Code],MATCH(Data_NFI_t[[#This Row],[Camp Name]],Camp_List[Camp Name],0)-1,0,1,1),"")</f>
        <v>MMR012CMP115</v>
      </c>
      <c r="AU58" s="412" t="str">
        <f ca="1">IFERROR(OFFSET(Camp_List[Status],MATCH(Data_NFI_t[[#This Row],[Camp Name]],Camp_List[Camp Name],0)-1,0,1,1),"")</f>
        <v>Open</v>
      </c>
      <c r="AV58" s="105" t="s">
        <v>1135</v>
      </c>
      <c r="AY58" s="747"/>
    </row>
    <row r="59" spans="1:51" s="745" customFormat="1" ht="14.25" customHeight="1" x14ac:dyDescent="0.25">
      <c r="A59" s="711">
        <f t="shared" si="2"/>
        <v>10.866666666666667</v>
      </c>
      <c r="B59" s="712">
        <f>YEAR(Data_NFI_t[[#This Row],[Distribution Date]])</f>
        <v>2018</v>
      </c>
      <c r="C59" s="912">
        <v>43108</v>
      </c>
      <c r="D59" s="708" t="s">
        <v>270</v>
      </c>
      <c r="E59" s="708" t="s">
        <v>273</v>
      </c>
      <c r="F59" s="708" t="s">
        <v>7</v>
      </c>
      <c r="G59" s="713" t="s">
        <v>17</v>
      </c>
      <c r="H59" s="713" t="s">
        <v>585</v>
      </c>
      <c r="I59" s="205"/>
      <c r="J59" s="886">
        <v>5</v>
      </c>
      <c r="K59" s="886">
        <v>5</v>
      </c>
      <c r="L59" s="715"/>
      <c r="M59" s="715"/>
      <c r="N59" s="716">
        <v>5</v>
      </c>
      <c r="O59" s="716"/>
      <c r="P59" s="716">
        <v>5</v>
      </c>
      <c r="Q59" s="716">
        <v>5</v>
      </c>
      <c r="R59" s="716"/>
      <c r="S59" s="716"/>
      <c r="T59" s="717"/>
      <c r="U59" s="716">
        <v>15</v>
      </c>
      <c r="V59" s="887"/>
      <c r="W59" s="887"/>
      <c r="X59" s="716"/>
      <c r="Y59" s="716"/>
      <c r="Z59" s="716"/>
      <c r="AA59" s="716"/>
      <c r="AB59" s="716"/>
      <c r="AC59" s="716"/>
      <c r="AD59" s="709">
        <f>IF(NFI_Expiration=1,IF($A59&lt;VLOOKUP(I$5,NFI,5,0),1,0)*Data_NFI_t[[#This Row],[Hygiene Kit]],0)</f>
        <v>0</v>
      </c>
      <c r="AE59" s="709">
        <f>IF(NFI_Expiration=1,IF($A59&lt;VLOOKUP(L$5,NFI,5,0),1,0)*Data_NFI_t[[#This Row],[NFI Core Kit]],0)</f>
        <v>0</v>
      </c>
      <c r="AF59" s="710">
        <f>IF(NFI_Expiration=1,IF($A59&lt;VLOOKUP(M$5,NFI,5,0),1,0)*Data_NFI_t[[#This Row],[Sanitary Kit]],0)</f>
        <v>0</v>
      </c>
      <c r="AG59" s="1055">
        <f>IF(NFI_Expiration=1,IF($A59&lt;VLOOKUP(AC$5,NFI,5,0),1,0)*Data_NFI_t[[#This Row],[Rope]],0)</f>
        <v>0</v>
      </c>
      <c r="AH59" s="710">
        <f>IF(NFI_Expiration=1,IF($A59&lt;VLOOKUP(N$5,NFI,5,0),1,0)*Data_NFI_t[[#This Row],[Mosquito net]],0)</f>
        <v>5</v>
      </c>
      <c r="AI59" s="710">
        <f>IF(NFI_Expiration=1,IF($A59&lt;VLOOKUP(O$5,NFI,5,0),1,0)*Data_NFI_t[[#This Row],[Tarpaulin]],0)</f>
        <v>0</v>
      </c>
      <c r="AJ59" s="710">
        <f>IF(NFI_Expiration=1,IF($A59&lt;VLOOKUP(P$5,NFI,5,0),1,0)*Data_NFI_t[[#This Row],[Blanket]],0)</f>
        <v>5</v>
      </c>
      <c r="AK59" s="710">
        <f>IF(NFI_Expiration=1,IF($A59&lt;VLOOKUP(Q$5,NFI,5,0),1,0)*Data_NFI_t[[#This Row],[Kitchen Set]],0)</f>
        <v>5</v>
      </c>
      <c r="AL59" s="710">
        <f>IF(NFI_Expiration=1,IF($A59&lt;VLOOKUP(R$5,NFI,5,0),1,0)*Data_NFI_t[[#This Row],[Complementary Kit]],0)</f>
        <v>0</v>
      </c>
      <c r="AM59" s="710">
        <f>IF(NFI_Expiration=1,IF($A59&lt;VLOOKUP(S$5,NFI,5,0),1,0)*Data_NFI_t[[#This Row],[Plastic Bucket]],0)</f>
        <v>0</v>
      </c>
      <c r="AN59" s="709">
        <f>IF(NFI_Expiration=1,IF($A59&lt;VLOOKUP(T$5,NFI,5,0),1,0)*Data_NFI_t[[#This Row],[Jerry Can]],0)</f>
        <v>0</v>
      </c>
      <c r="AO59" s="709">
        <f>IF(NFI_Expiration=1,IF($A59&lt;VLOOKUP(U$5,NFI,5,0),1,0)*Data_NFI_t[[#This Row],[Plastic Mat]],0)</f>
        <v>15</v>
      </c>
      <c r="AP59" s="709">
        <f>IF(NFI_Expiration=1,IF($A59&lt;VLOOKUP(V$5,NFI,5,0),1,0)*Data_NFI_t[[#This Row],[Adult Clothes]],0)</f>
        <v>0</v>
      </c>
      <c r="AQ59" s="709">
        <f>IF(NFI_Expiration=1,IF($A59&lt;VLOOKUP(W$5,NFI,5,0),1,0)*Data_NFI_t[[#This Row],[Children Clothes]],0)</f>
        <v>0</v>
      </c>
      <c r="AR59" s="709">
        <f>IF(NFI_Expiration=1,IF($A59&lt;VLOOKUP(X$5,NFI,5,0),1,0)*Data_NFI_t[[#This Row],[Sewing Kit]],0)</f>
        <v>0</v>
      </c>
      <c r="AS59" s="709">
        <f>IF(NFI_Expiration=1,IF($A59&lt;VLOOKUP(X$5,NFI,5,0),1,0)*Data_NFI_t[[#This Row],[Solar Lantern]],0)</f>
        <v>0</v>
      </c>
      <c r="AT59" s="105" t="str">
        <f ca="1">IFERROR(OFFSET(Camp_List[P_Code],MATCH(Data_NFI_t[[#This Row],[Camp Name]],Camp_List[Camp Name],0)-1,0,1,1),"")</f>
        <v>MMR012CMP098</v>
      </c>
      <c r="AU59" s="412" t="str">
        <f ca="1">IFERROR(OFFSET(Camp_List[Status],MATCH(Data_NFI_t[[#This Row],[Camp Name]],Camp_List[Camp Name],0)-1,0,1,1),"")</f>
        <v>Open</v>
      </c>
      <c r="AV59" s="105" t="s">
        <v>1135</v>
      </c>
      <c r="AY59" s="747"/>
    </row>
    <row r="60" spans="1:51" s="745" customFormat="1" ht="14.25" customHeight="1" x14ac:dyDescent="0.25">
      <c r="A60" s="711">
        <f t="shared" si="2"/>
        <v>10.966666666666667</v>
      </c>
      <c r="B60" s="712">
        <f>YEAR(Data_NFI_t[[#This Row],[Distribution Date]])</f>
        <v>2018</v>
      </c>
      <c r="C60" s="912">
        <v>43105</v>
      </c>
      <c r="D60" s="708" t="s">
        <v>270</v>
      </c>
      <c r="E60" s="708" t="s">
        <v>273</v>
      </c>
      <c r="F60" s="708" t="s">
        <v>7</v>
      </c>
      <c r="G60" s="713" t="s">
        <v>17</v>
      </c>
      <c r="H60" s="713" t="s">
        <v>61</v>
      </c>
      <c r="I60" s="205"/>
      <c r="J60" s="886">
        <v>20</v>
      </c>
      <c r="K60" s="886">
        <v>20</v>
      </c>
      <c r="L60" s="715"/>
      <c r="M60" s="715"/>
      <c r="N60" s="716">
        <v>20</v>
      </c>
      <c r="O60" s="716"/>
      <c r="P60" s="716">
        <v>20</v>
      </c>
      <c r="Q60" s="716">
        <v>20</v>
      </c>
      <c r="R60" s="716"/>
      <c r="S60" s="716"/>
      <c r="T60" s="717"/>
      <c r="U60" s="716">
        <v>60</v>
      </c>
      <c r="V60" s="887"/>
      <c r="W60" s="887"/>
      <c r="X60" s="716"/>
      <c r="Y60" s="716"/>
      <c r="Z60" s="716"/>
      <c r="AA60" s="716"/>
      <c r="AB60" s="716"/>
      <c r="AC60" s="716"/>
      <c r="AD60" s="709">
        <f>IF(NFI_Expiration=1,IF($A60&lt;VLOOKUP(I$5,NFI,5,0),1,0)*Data_NFI_t[[#This Row],[Hygiene Kit]],0)</f>
        <v>0</v>
      </c>
      <c r="AE60" s="709">
        <f>IF(NFI_Expiration=1,IF($A60&lt;VLOOKUP(L$5,NFI,5,0),1,0)*Data_NFI_t[[#This Row],[NFI Core Kit]],0)</f>
        <v>0</v>
      </c>
      <c r="AF60" s="710">
        <f>IF(NFI_Expiration=1,IF($A60&lt;VLOOKUP(M$5,NFI,5,0),1,0)*Data_NFI_t[[#This Row],[Sanitary Kit]],0)</f>
        <v>0</v>
      </c>
      <c r="AG60" s="1055">
        <f>IF(NFI_Expiration=1,IF($A60&lt;VLOOKUP(AC$5,NFI,5,0),1,0)*Data_NFI_t[[#This Row],[Rope]],0)</f>
        <v>0</v>
      </c>
      <c r="AH60" s="710">
        <f>IF(NFI_Expiration=1,IF($A60&lt;VLOOKUP(N$5,NFI,5,0),1,0)*Data_NFI_t[[#This Row],[Mosquito net]],0)</f>
        <v>20</v>
      </c>
      <c r="AI60" s="710">
        <f>IF(NFI_Expiration=1,IF($A60&lt;VLOOKUP(O$5,NFI,5,0),1,0)*Data_NFI_t[[#This Row],[Tarpaulin]],0)</f>
        <v>0</v>
      </c>
      <c r="AJ60" s="710">
        <f>IF(NFI_Expiration=1,IF($A60&lt;VLOOKUP(P$5,NFI,5,0),1,0)*Data_NFI_t[[#This Row],[Blanket]],0)</f>
        <v>20</v>
      </c>
      <c r="AK60" s="710">
        <f>IF(NFI_Expiration=1,IF($A60&lt;VLOOKUP(Q$5,NFI,5,0),1,0)*Data_NFI_t[[#This Row],[Kitchen Set]],0)</f>
        <v>20</v>
      </c>
      <c r="AL60" s="710">
        <f>IF(NFI_Expiration=1,IF($A60&lt;VLOOKUP(R$5,NFI,5,0),1,0)*Data_NFI_t[[#This Row],[Complementary Kit]],0)</f>
        <v>0</v>
      </c>
      <c r="AM60" s="710">
        <f>IF(NFI_Expiration=1,IF($A60&lt;VLOOKUP(S$5,NFI,5,0),1,0)*Data_NFI_t[[#This Row],[Plastic Bucket]],0)</f>
        <v>0</v>
      </c>
      <c r="AN60" s="709">
        <f>IF(NFI_Expiration=1,IF($A60&lt;VLOOKUP(T$5,NFI,5,0),1,0)*Data_NFI_t[[#This Row],[Jerry Can]],0)</f>
        <v>0</v>
      </c>
      <c r="AO60" s="709">
        <f>IF(NFI_Expiration=1,IF($A60&lt;VLOOKUP(U$5,NFI,5,0),1,0)*Data_NFI_t[[#This Row],[Plastic Mat]],0)</f>
        <v>60</v>
      </c>
      <c r="AP60" s="709">
        <f>IF(NFI_Expiration=1,IF($A60&lt;VLOOKUP(V$5,NFI,5,0),1,0)*Data_NFI_t[[#This Row],[Adult Clothes]],0)</f>
        <v>0</v>
      </c>
      <c r="AQ60" s="709">
        <f>IF(NFI_Expiration=1,IF($A60&lt;VLOOKUP(W$5,NFI,5,0),1,0)*Data_NFI_t[[#This Row],[Children Clothes]],0)</f>
        <v>0</v>
      </c>
      <c r="AR60" s="709">
        <f>IF(NFI_Expiration=1,IF($A60&lt;VLOOKUP(X$5,NFI,5,0),1,0)*Data_NFI_t[[#This Row],[Sewing Kit]],0)</f>
        <v>0</v>
      </c>
      <c r="AS60" s="709">
        <f>IF(NFI_Expiration=1,IF($A60&lt;VLOOKUP(X$5,NFI,5,0),1,0)*Data_NFI_t[[#This Row],[Solar Lantern]],0)</f>
        <v>0</v>
      </c>
      <c r="AT60" s="105" t="str">
        <f ca="1">IFERROR(OFFSET(Camp_List[P_Code],MATCH(Data_NFI_t[[#This Row],[Camp Name]],Camp_List[Camp Name],0)-1,0,1,1),"")</f>
        <v>MMR012CMP041</v>
      </c>
      <c r="AU60" s="412" t="str">
        <f ca="1">IFERROR(OFFSET(Camp_List[Status],MATCH(Data_NFI_t[[#This Row],[Camp Name]],Camp_List[Camp Name],0)-1,0,1,1),"")</f>
        <v>Open</v>
      </c>
      <c r="AV60" s="105" t="s">
        <v>1135</v>
      </c>
      <c r="AY60" s="747"/>
    </row>
    <row r="61" spans="1:51" s="745" customFormat="1" ht="14.25" customHeight="1" x14ac:dyDescent="0.25">
      <c r="A61" s="711">
        <f t="shared" si="2"/>
        <v>10.966666666666667</v>
      </c>
      <c r="B61" s="712">
        <f>YEAR(Data_NFI_t[[#This Row],[Distribution Date]])</f>
        <v>2018</v>
      </c>
      <c r="C61" s="912">
        <v>43105</v>
      </c>
      <c r="D61" s="708" t="s">
        <v>270</v>
      </c>
      <c r="E61" s="708" t="s">
        <v>273</v>
      </c>
      <c r="F61" s="708" t="s">
        <v>7</v>
      </c>
      <c r="G61" s="713" t="s">
        <v>17</v>
      </c>
      <c r="H61" s="713" t="s">
        <v>582</v>
      </c>
      <c r="I61" s="205"/>
      <c r="J61" s="886">
        <v>19</v>
      </c>
      <c r="K61" s="886">
        <v>19</v>
      </c>
      <c r="L61" s="715"/>
      <c r="M61" s="715"/>
      <c r="N61" s="716">
        <v>19</v>
      </c>
      <c r="O61" s="716"/>
      <c r="P61" s="716">
        <v>19</v>
      </c>
      <c r="Q61" s="716">
        <v>19</v>
      </c>
      <c r="R61" s="716"/>
      <c r="S61" s="716"/>
      <c r="T61" s="717"/>
      <c r="U61" s="716">
        <v>57</v>
      </c>
      <c r="V61" s="887"/>
      <c r="W61" s="887"/>
      <c r="X61" s="716"/>
      <c r="Y61" s="716"/>
      <c r="Z61" s="716"/>
      <c r="AA61" s="716"/>
      <c r="AB61" s="716"/>
      <c r="AC61" s="716"/>
      <c r="AD61" s="709">
        <f>IF(NFI_Expiration=1,IF($A61&lt;VLOOKUP(I$5,NFI,5,0),1,0)*Data_NFI_t[[#This Row],[Hygiene Kit]],0)</f>
        <v>0</v>
      </c>
      <c r="AE61" s="709">
        <f>IF(NFI_Expiration=1,IF($A61&lt;VLOOKUP(L$5,NFI,5,0),1,0)*Data_NFI_t[[#This Row],[NFI Core Kit]],0)</f>
        <v>0</v>
      </c>
      <c r="AF61" s="710">
        <f>IF(NFI_Expiration=1,IF($A61&lt;VLOOKUP(M$5,NFI,5,0),1,0)*Data_NFI_t[[#This Row],[Sanitary Kit]],0)</f>
        <v>0</v>
      </c>
      <c r="AG61" s="1055">
        <f>IF(NFI_Expiration=1,IF($A61&lt;VLOOKUP(AC$5,NFI,5,0),1,0)*Data_NFI_t[[#This Row],[Rope]],0)</f>
        <v>0</v>
      </c>
      <c r="AH61" s="710">
        <f>IF(NFI_Expiration=1,IF($A61&lt;VLOOKUP(N$5,NFI,5,0),1,0)*Data_NFI_t[[#This Row],[Mosquito net]],0)</f>
        <v>19</v>
      </c>
      <c r="AI61" s="710">
        <f>IF(NFI_Expiration=1,IF($A61&lt;VLOOKUP(O$5,NFI,5,0),1,0)*Data_NFI_t[[#This Row],[Tarpaulin]],0)</f>
        <v>0</v>
      </c>
      <c r="AJ61" s="710">
        <f>IF(NFI_Expiration=1,IF($A61&lt;VLOOKUP(P$5,NFI,5,0),1,0)*Data_NFI_t[[#This Row],[Blanket]],0)</f>
        <v>19</v>
      </c>
      <c r="AK61" s="710">
        <f>IF(NFI_Expiration=1,IF($A61&lt;VLOOKUP(Q$5,NFI,5,0),1,0)*Data_NFI_t[[#This Row],[Kitchen Set]],0)</f>
        <v>19</v>
      </c>
      <c r="AL61" s="710">
        <f>IF(NFI_Expiration=1,IF($A61&lt;VLOOKUP(R$5,NFI,5,0),1,0)*Data_NFI_t[[#This Row],[Complementary Kit]],0)</f>
        <v>0</v>
      </c>
      <c r="AM61" s="710">
        <f>IF(NFI_Expiration=1,IF($A61&lt;VLOOKUP(S$5,NFI,5,0),1,0)*Data_NFI_t[[#This Row],[Plastic Bucket]],0)</f>
        <v>0</v>
      </c>
      <c r="AN61" s="709">
        <f>IF(NFI_Expiration=1,IF($A61&lt;VLOOKUP(T$5,NFI,5,0),1,0)*Data_NFI_t[[#This Row],[Jerry Can]],0)</f>
        <v>0</v>
      </c>
      <c r="AO61" s="709">
        <f>IF(NFI_Expiration=1,IF($A61&lt;VLOOKUP(U$5,NFI,5,0),1,0)*Data_NFI_t[[#This Row],[Plastic Mat]],0)</f>
        <v>57</v>
      </c>
      <c r="AP61" s="709">
        <f>IF(NFI_Expiration=1,IF($A61&lt;VLOOKUP(V$5,NFI,5,0),1,0)*Data_NFI_t[[#This Row],[Adult Clothes]],0)</f>
        <v>0</v>
      </c>
      <c r="AQ61" s="709">
        <f>IF(NFI_Expiration=1,IF($A61&lt;VLOOKUP(W$5,NFI,5,0),1,0)*Data_NFI_t[[#This Row],[Children Clothes]],0)</f>
        <v>0</v>
      </c>
      <c r="AR61" s="709">
        <f>IF(NFI_Expiration=1,IF($A61&lt;VLOOKUP(X$5,NFI,5,0),1,0)*Data_NFI_t[[#This Row],[Sewing Kit]],0)</f>
        <v>0</v>
      </c>
      <c r="AS61" s="709">
        <f>IF(NFI_Expiration=1,IF($A61&lt;VLOOKUP(X$5,NFI,5,0),1,0)*Data_NFI_t[[#This Row],[Solar Lantern]],0)</f>
        <v>0</v>
      </c>
      <c r="AT61" s="754" t="str">
        <f ca="1">IFERROR(OFFSET(Camp_List[P_Code],MATCH(Data_NFI_t[[#This Row],[Camp Name]],Camp_List[Camp Name],0)-1,0,1,1),"")</f>
        <v>MMR012CMP114</v>
      </c>
      <c r="AU61" s="755" t="str">
        <f ca="1">IFERROR(OFFSET(Camp_List[Status],MATCH(Data_NFI_t[[#This Row],[Camp Name]],Camp_List[Camp Name],0)-1,0,1,1),"")</f>
        <v>Open</v>
      </c>
      <c r="AV61" s="105" t="s">
        <v>1135</v>
      </c>
      <c r="AY61" s="747"/>
    </row>
    <row r="62" spans="1:51" s="745" customFormat="1" ht="14.25" customHeight="1" x14ac:dyDescent="0.25">
      <c r="A62" s="711">
        <f t="shared" si="2"/>
        <v>10.966666666666667</v>
      </c>
      <c r="B62" s="712">
        <f>YEAR(Data_NFI_t[[#This Row],[Distribution Date]])</f>
        <v>2018</v>
      </c>
      <c r="C62" s="912">
        <v>43105</v>
      </c>
      <c r="D62" s="708" t="s">
        <v>270</v>
      </c>
      <c r="E62" s="708" t="s">
        <v>273</v>
      </c>
      <c r="F62" s="708" t="s">
        <v>7</v>
      </c>
      <c r="G62" s="713" t="s">
        <v>17</v>
      </c>
      <c r="H62" s="713" t="s">
        <v>581</v>
      </c>
      <c r="I62" s="205"/>
      <c r="J62" s="886">
        <v>22</v>
      </c>
      <c r="K62" s="886">
        <v>22</v>
      </c>
      <c r="L62" s="715"/>
      <c r="M62" s="715"/>
      <c r="N62" s="716">
        <v>22</v>
      </c>
      <c r="O62" s="716"/>
      <c r="P62" s="716">
        <v>22</v>
      </c>
      <c r="Q62" s="716">
        <v>22</v>
      </c>
      <c r="R62" s="716"/>
      <c r="S62" s="716"/>
      <c r="T62" s="717"/>
      <c r="U62" s="716">
        <v>66</v>
      </c>
      <c r="V62" s="887"/>
      <c r="W62" s="887"/>
      <c r="X62" s="716"/>
      <c r="Y62" s="716"/>
      <c r="Z62" s="716"/>
      <c r="AA62" s="716"/>
      <c r="AB62" s="716"/>
      <c r="AC62" s="716"/>
      <c r="AD62" s="709">
        <f>IF(NFI_Expiration=1,IF($A62&lt;VLOOKUP(I$5,NFI,5,0),1,0)*Data_NFI_t[[#This Row],[Hygiene Kit]],0)</f>
        <v>0</v>
      </c>
      <c r="AE62" s="709">
        <f>IF(NFI_Expiration=1,IF($A62&lt;VLOOKUP(L$5,NFI,5,0),1,0)*Data_NFI_t[[#This Row],[NFI Core Kit]],0)</f>
        <v>0</v>
      </c>
      <c r="AF62" s="710">
        <f>IF(NFI_Expiration=1,IF($A62&lt;VLOOKUP(M$5,NFI,5,0),1,0)*Data_NFI_t[[#This Row],[Sanitary Kit]],0)</f>
        <v>0</v>
      </c>
      <c r="AG62" s="1055">
        <f>IF(NFI_Expiration=1,IF($A62&lt;VLOOKUP(AC$5,NFI,5,0),1,0)*Data_NFI_t[[#This Row],[Rope]],0)</f>
        <v>0</v>
      </c>
      <c r="AH62" s="710">
        <f>IF(NFI_Expiration=1,IF($A62&lt;VLOOKUP(N$5,NFI,5,0),1,0)*Data_NFI_t[[#This Row],[Mosquito net]],0)</f>
        <v>22</v>
      </c>
      <c r="AI62" s="710">
        <f>IF(NFI_Expiration=1,IF($A62&lt;VLOOKUP(O$5,NFI,5,0),1,0)*Data_NFI_t[[#This Row],[Tarpaulin]],0)</f>
        <v>0</v>
      </c>
      <c r="AJ62" s="710">
        <f>IF(NFI_Expiration=1,IF($A62&lt;VLOOKUP(P$5,NFI,5,0),1,0)*Data_NFI_t[[#This Row],[Blanket]],0)</f>
        <v>22</v>
      </c>
      <c r="AK62" s="710">
        <f>IF(NFI_Expiration=1,IF($A62&lt;VLOOKUP(Q$5,NFI,5,0),1,0)*Data_NFI_t[[#This Row],[Kitchen Set]],0)</f>
        <v>22</v>
      </c>
      <c r="AL62" s="710">
        <f>IF(NFI_Expiration=1,IF($A62&lt;VLOOKUP(R$5,NFI,5,0),1,0)*Data_NFI_t[[#This Row],[Complementary Kit]],0)</f>
        <v>0</v>
      </c>
      <c r="AM62" s="710">
        <f>IF(NFI_Expiration=1,IF($A62&lt;VLOOKUP(S$5,NFI,5,0),1,0)*Data_NFI_t[[#This Row],[Plastic Bucket]],0)</f>
        <v>0</v>
      </c>
      <c r="AN62" s="709">
        <f>IF(NFI_Expiration=1,IF($A62&lt;VLOOKUP(T$5,NFI,5,0),1,0)*Data_NFI_t[[#This Row],[Jerry Can]],0)</f>
        <v>0</v>
      </c>
      <c r="AO62" s="709">
        <f>IF(NFI_Expiration=1,IF($A62&lt;VLOOKUP(U$5,NFI,5,0),1,0)*Data_NFI_t[[#This Row],[Plastic Mat]],0)</f>
        <v>66</v>
      </c>
      <c r="AP62" s="709">
        <f>IF(NFI_Expiration=1,IF($A62&lt;VLOOKUP(V$5,NFI,5,0),1,0)*Data_NFI_t[[#This Row],[Adult Clothes]],0)</f>
        <v>0</v>
      </c>
      <c r="AQ62" s="709">
        <f>IF(NFI_Expiration=1,IF($A62&lt;VLOOKUP(W$5,NFI,5,0),1,0)*Data_NFI_t[[#This Row],[Children Clothes]],0)</f>
        <v>0</v>
      </c>
      <c r="AR62" s="709">
        <f>IF(NFI_Expiration=1,IF($A62&lt;VLOOKUP(X$5,NFI,5,0),1,0)*Data_NFI_t[[#This Row],[Sewing Kit]],0)</f>
        <v>0</v>
      </c>
      <c r="AS62" s="709">
        <f>IF(NFI_Expiration=1,IF($A62&lt;VLOOKUP(X$5,NFI,5,0),1,0)*Data_NFI_t[[#This Row],[Solar Lantern]],0)</f>
        <v>0</v>
      </c>
      <c r="AT62" s="105" t="str">
        <f ca="1">IFERROR(OFFSET(Camp_List[P_Code],MATCH(Data_NFI_t[[#This Row],[Camp Name]],Camp_List[Camp Name],0)-1,0,1,1),"")</f>
        <v>MMR012CMP113</v>
      </c>
      <c r="AU62" s="412" t="str">
        <f ca="1">IFERROR(OFFSET(Camp_List[Status],MATCH(Data_NFI_t[[#This Row],[Camp Name]],Camp_List[Camp Name],0)-1,0,1,1),"")</f>
        <v>Open</v>
      </c>
      <c r="AV62" s="105" t="s">
        <v>1135</v>
      </c>
      <c r="AY62" s="747"/>
    </row>
    <row r="63" spans="1:51" s="745" customFormat="1" ht="18" customHeight="1" x14ac:dyDescent="0.25">
      <c r="A63" s="711">
        <f t="shared" ref="A63:A94" si="3">IF(ISBLANK(C63),"",(Report_Date-C63)/30)</f>
        <v>11.2</v>
      </c>
      <c r="B63" s="712">
        <f>YEAR(Data_NFI_t[[#This Row],[Distribution Date]])</f>
        <v>2017</v>
      </c>
      <c r="C63" s="904">
        <v>43098</v>
      </c>
      <c r="D63" s="708" t="s">
        <v>1119</v>
      </c>
      <c r="E63" s="708" t="s">
        <v>1119</v>
      </c>
      <c r="F63" s="708" t="s">
        <v>7</v>
      </c>
      <c r="G63" s="713" t="s">
        <v>17</v>
      </c>
      <c r="H63" s="713" t="s">
        <v>497</v>
      </c>
      <c r="I63" s="205"/>
      <c r="J63" s="886">
        <v>299</v>
      </c>
      <c r="K63" s="886">
        <v>1645</v>
      </c>
      <c r="L63" s="715">
        <v>299</v>
      </c>
      <c r="M63" s="715"/>
      <c r="N63" s="716"/>
      <c r="O63" s="716"/>
      <c r="P63" s="716"/>
      <c r="Q63" s="716"/>
      <c r="R63" s="716"/>
      <c r="S63" s="716"/>
      <c r="T63" s="717"/>
      <c r="U63" s="716"/>
      <c r="V63" s="887"/>
      <c r="W63" s="887"/>
      <c r="X63" s="716"/>
      <c r="Y63" s="716"/>
      <c r="Z63" s="716"/>
      <c r="AA63" s="716"/>
      <c r="AB63" s="716"/>
      <c r="AC63" s="716"/>
      <c r="AD63" s="709">
        <f>IF(NFI_Expiration=1,IF($A63&lt;VLOOKUP(I$5,NFI,5,0),1,0)*Data_NFI_t[[#This Row],[Hygiene Kit]],0)</f>
        <v>0</v>
      </c>
      <c r="AE63" s="709">
        <f>IF(NFI_Expiration=1,IF($A63&lt;VLOOKUP(L$5,NFI,5,0),1,0)*Data_NFI_t[[#This Row],[NFI Core Kit]],0)</f>
        <v>299</v>
      </c>
      <c r="AF63" s="710">
        <f>IF(NFI_Expiration=1,IF($A63&lt;VLOOKUP(M$5,NFI,5,0),1,0)*Data_NFI_t[[#This Row],[Sanitary Kit]],0)</f>
        <v>0</v>
      </c>
      <c r="AG63" s="1055">
        <f>IF(NFI_Expiration=1,IF($A63&lt;VLOOKUP(AC$5,NFI,5,0),1,0)*Data_NFI_t[[#This Row],[Rope]],0)</f>
        <v>0</v>
      </c>
      <c r="AH63" s="710">
        <f>IF(NFI_Expiration=1,IF($A63&lt;VLOOKUP(N$5,NFI,5,0),1,0)*Data_NFI_t[[#This Row],[Mosquito net]],0)</f>
        <v>0</v>
      </c>
      <c r="AI63" s="710">
        <f>IF(NFI_Expiration=1,IF($A63&lt;VLOOKUP(O$5,NFI,5,0),1,0)*Data_NFI_t[[#This Row],[Tarpaulin]],0)</f>
        <v>0</v>
      </c>
      <c r="AJ63" s="710">
        <f>IF(NFI_Expiration=1,IF($A63&lt;VLOOKUP(P$5,NFI,5,0),1,0)*Data_NFI_t[[#This Row],[Blanket]],0)</f>
        <v>0</v>
      </c>
      <c r="AK63" s="710">
        <f>IF(NFI_Expiration=1,IF($A63&lt;VLOOKUP(Q$5,NFI,5,0),1,0)*Data_NFI_t[[#This Row],[Kitchen Set]],0)</f>
        <v>0</v>
      </c>
      <c r="AL63" s="710">
        <f>IF(NFI_Expiration=1,IF($A63&lt;VLOOKUP(R$5,NFI,5,0),1,0)*Data_NFI_t[[#This Row],[Complementary Kit]],0)</f>
        <v>0</v>
      </c>
      <c r="AM63" s="710">
        <f>IF(NFI_Expiration=1,IF($A63&lt;VLOOKUP(S$5,NFI,5,0),1,0)*Data_NFI_t[[#This Row],[Plastic Bucket]],0)</f>
        <v>0</v>
      </c>
      <c r="AN63" s="709">
        <f>IF(NFI_Expiration=1,IF($A63&lt;VLOOKUP(T$5,NFI,5,0),1,0)*Data_NFI_t[[#This Row],[Jerry Can]],0)</f>
        <v>0</v>
      </c>
      <c r="AO63" s="709">
        <f>IF(NFI_Expiration=1,IF($A63&lt;VLOOKUP(U$5,NFI,5,0),1,0)*Data_NFI_t[[#This Row],[Plastic Mat]],0)</f>
        <v>0</v>
      </c>
      <c r="AP63" s="709">
        <f>IF(NFI_Expiration=1,IF($A63&lt;VLOOKUP(V$5,NFI,5,0),1,0)*Data_NFI_t[[#This Row],[Adult Clothes]],0)</f>
        <v>0</v>
      </c>
      <c r="AQ63" s="709">
        <f>IF(NFI_Expiration=1,IF($A63&lt;VLOOKUP(W$5,NFI,5,0),1,0)*Data_NFI_t[[#This Row],[Children Clothes]],0)</f>
        <v>0</v>
      </c>
      <c r="AR63" s="709">
        <f>IF(NFI_Expiration=1,IF($A63&lt;VLOOKUP(X$5,NFI,5,0),1,0)*Data_NFI_t[[#This Row],[Sewing Kit]],0)</f>
        <v>0</v>
      </c>
      <c r="AS63" s="709">
        <f>IF(NFI_Expiration=1,IF($A63&lt;VLOOKUP(X$5,NFI,5,0),1,0)*Data_NFI_t[[#This Row],[Solar Lantern]],0)</f>
        <v>0</v>
      </c>
      <c r="AT63" s="754" t="str">
        <f ca="1">IFERROR(OFFSET(Camp_List[P_Code],MATCH(Data_NFI_t[[#This Row],[Camp Name]],Camp_List[Camp Name],0)-1,0,1,1),"")</f>
        <v>MMR012CMP091</v>
      </c>
      <c r="AU63" s="755" t="str">
        <f ca="1">IFERROR(OFFSET(Camp_List[Status],MATCH(Data_NFI_t[[#This Row],[Camp Name]],Camp_List[Camp Name],0)-1,0,1,1),"")</f>
        <v>Open</v>
      </c>
      <c r="AV63" s="754"/>
      <c r="AY63" s="747"/>
    </row>
    <row r="64" spans="1:51" s="745" customFormat="1" ht="18" customHeight="1" x14ac:dyDescent="0.25">
      <c r="A64" s="711">
        <f t="shared" si="3"/>
        <v>11.2</v>
      </c>
      <c r="B64" s="712">
        <f>YEAR(Data_NFI_t[[#This Row],[Distribution Date]])</f>
        <v>2017</v>
      </c>
      <c r="C64" s="904">
        <v>43098</v>
      </c>
      <c r="D64" s="898" t="s">
        <v>1119</v>
      </c>
      <c r="E64" s="898" t="s">
        <v>1119</v>
      </c>
      <c r="F64" s="898" t="s">
        <v>7</v>
      </c>
      <c r="G64" s="713" t="s">
        <v>17</v>
      </c>
      <c r="H64" s="713" t="s">
        <v>68</v>
      </c>
      <c r="I64" s="205"/>
      <c r="J64" s="886">
        <v>1013</v>
      </c>
      <c r="K64" s="886">
        <v>5572</v>
      </c>
      <c r="L64" s="715">
        <v>1312</v>
      </c>
      <c r="M64" s="715"/>
      <c r="N64" s="716"/>
      <c r="O64" s="716"/>
      <c r="P64" s="716"/>
      <c r="Q64" s="716"/>
      <c r="R64" s="716"/>
      <c r="S64" s="716"/>
      <c r="T64" s="717"/>
      <c r="U64" s="716"/>
      <c r="V64" s="887"/>
      <c r="W64" s="887"/>
      <c r="X64" s="716"/>
      <c r="Y64" s="716"/>
      <c r="Z64" s="716"/>
      <c r="AA64" s="716"/>
      <c r="AB64" s="716"/>
      <c r="AC64" s="716"/>
      <c r="AD64" s="709">
        <f>IF(NFI_Expiration=1,IF($A64&lt;VLOOKUP(I$5,NFI,5,0),1,0)*Data_NFI_t[[#This Row],[Hygiene Kit]],0)</f>
        <v>0</v>
      </c>
      <c r="AE64" s="709">
        <f>IF(NFI_Expiration=1,IF($A64&lt;VLOOKUP(L$5,NFI,5,0),1,0)*Data_NFI_t[[#This Row],[NFI Core Kit]],0)</f>
        <v>1312</v>
      </c>
      <c r="AF64" s="710">
        <f>IF(NFI_Expiration=1,IF($A64&lt;VLOOKUP(M$5,NFI,5,0),1,0)*Data_NFI_t[[#This Row],[Sanitary Kit]],0)</f>
        <v>0</v>
      </c>
      <c r="AG64" s="1055">
        <f>IF(NFI_Expiration=1,IF($A64&lt;VLOOKUP(AC$5,NFI,5,0),1,0)*Data_NFI_t[[#This Row],[Rope]],0)</f>
        <v>0</v>
      </c>
      <c r="AH64" s="710">
        <f>IF(NFI_Expiration=1,IF($A64&lt;VLOOKUP(N$5,NFI,5,0),1,0)*Data_NFI_t[[#This Row],[Mosquito net]],0)</f>
        <v>0</v>
      </c>
      <c r="AI64" s="710">
        <f>IF(NFI_Expiration=1,IF($A64&lt;VLOOKUP(O$5,NFI,5,0),1,0)*Data_NFI_t[[#This Row],[Tarpaulin]],0)</f>
        <v>0</v>
      </c>
      <c r="AJ64" s="710">
        <f>IF(NFI_Expiration=1,IF($A64&lt;VLOOKUP(P$5,NFI,5,0),1,0)*Data_NFI_t[[#This Row],[Blanket]],0)</f>
        <v>0</v>
      </c>
      <c r="AK64" s="710">
        <f>IF(NFI_Expiration=1,IF($A64&lt;VLOOKUP(Q$5,NFI,5,0),1,0)*Data_NFI_t[[#This Row],[Kitchen Set]],0)</f>
        <v>0</v>
      </c>
      <c r="AL64" s="710">
        <f>IF(NFI_Expiration=1,IF($A64&lt;VLOOKUP(R$5,NFI,5,0),1,0)*Data_NFI_t[[#This Row],[Complementary Kit]],0)</f>
        <v>0</v>
      </c>
      <c r="AM64" s="710">
        <f>IF(NFI_Expiration=1,IF($A64&lt;VLOOKUP(S$5,NFI,5,0),1,0)*Data_NFI_t[[#This Row],[Plastic Bucket]],0)</f>
        <v>0</v>
      </c>
      <c r="AN64" s="709">
        <f>IF(NFI_Expiration=1,IF($A64&lt;VLOOKUP(T$5,NFI,5,0),1,0)*Data_NFI_t[[#This Row],[Jerry Can]],0)</f>
        <v>0</v>
      </c>
      <c r="AO64" s="709">
        <f>IF(NFI_Expiration=1,IF($A64&lt;VLOOKUP(U$5,NFI,5,0),1,0)*Data_NFI_t[[#This Row],[Plastic Mat]],0)</f>
        <v>0</v>
      </c>
      <c r="AP64" s="709">
        <f>IF(NFI_Expiration=1,IF($A64&lt;VLOOKUP(V$5,NFI,5,0),1,0)*Data_NFI_t[[#This Row],[Adult Clothes]],0)</f>
        <v>0</v>
      </c>
      <c r="AQ64" s="709">
        <f>IF(NFI_Expiration=1,IF($A64&lt;VLOOKUP(W$5,NFI,5,0),1,0)*Data_NFI_t[[#This Row],[Children Clothes]],0)</f>
        <v>0</v>
      </c>
      <c r="AR64" s="709">
        <f>IF(NFI_Expiration=1,IF($A64&lt;VLOOKUP(X$5,NFI,5,0),1,0)*Data_NFI_t[[#This Row],[Sewing Kit]],0)</f>
        <v>0</v>
      </c>
      <c r="AS64" s="709">
        <f>IF(NFI_Expiration=1,IF($A64&lt;VLOOKUP(X$5,NFI,5,0),1,0)*Data_NFI_t[[#This Row],[Solar Lantern]],0)</f>
        <v>0</v>
      </c>
      <c r="AT64" s="105" t="str">
        <f ca="1">IFERROR(OFFSET(Camp_List[P_Code],MATCH(Data_NFI_t[[#This Row],[Camp Name]],Camp_List[Camp Name],0)-1,0,1,1),"")</f>
        <v>MMR012CMP048</v>
      </c>
      <c r="AU64" s="412" t="str">
        <f ca="1">IFERROR(OFFSET(Camp_List[Status],MATCH(Data_NFI_t[[#This Row],[Camp Name]],Camp_List[Camp Name],0)-1,0,1,1),"")</f>
        <v>Open</v>
      </c>
      <c r="AV64" s="105"/>
      <c r="AY64" s="747"/>
    </row>
    <row r="65" spans="1:51" s="745" customFormat="1" ht="18" customHeight="1" x14ac:dyDescent="0.25">
      <c r="A65" s="711">
        <f t="shared" si="3"/>
        <v>11.2</v>
      </c>
      <c r="B65" s="712">
        <f>YEAR(Data_NFI_t[[#This Row],[Distribution Date]])</f>
        <v>2017</v>
      </c>
      <c r="C65" s="904">
        <v>43098</v>
      </c>
      <c r="D65" s="898" t="s">
        <v>1119</v>
      </c>
      <c r="E65" s="898" t="s">
        <v>1119</v>
      </c>
      <c r="F65" s="898" t="s">
        <v>7</v>
      </c>
      <c r="G65" s="713" t="s">
        <v>17</v>
      </c>
      <c r="H65" s="713" t="s">
        <v>65</v>
      </c>
      <c r="I65" s="205"/>
      <c r="J65" s="886">
        <v>2280</v>
      </c>
      <c r="K65" s="886">
        <v>12540</v>
      </c>
      <c r="L65" s="715">
        <v>2280</v>
      </c>
      <c r="M65" s="715"/>
      <c r="N65" s="716"/>
      <c r="O65" s="716"/>
      <c r="P65" s="716"/>
      <c r="Q65" s="716"/>
      <c r="R65" s="716"/>
      <c r="S65" s="716"/>
      <c r="T65" s="717"/>
      <c r="U65" s="716"/>
      <c r="V65" s="887"/>
      <c r="W65" s="887"/>
      <c r="X65" s="716"/>
      <c r="Y65" s="716"/>
      <c r="Z65" s="716"/>
      <c r="AA65" s="716"/>
      <c r="AB65" s="716"/>
      <c r="AC65" s="716"/>
      <c r="AD65" s="709">
        <f>IF(NFI_Expiration=1,IF($A65&lt;VLOOKUP(I$5,NFI,5,0),1,0)*Data_NFI_t[[#This Row],[Hygiene Kit]],0)</f>
        <v>0</v>
      </c>
      <c r="AE65" s="709">
        <f>IF(NFI_Expiration=1,IF($A65&lt;VLOOKUP(L$5,NFI,5,0),1,0)*Data_NFI_t[[#This Row],[NFI Core Kit]],0)</f>
        <v>2280</v>
      </c>
      <c r="AF65" s="710">
        <f>IF(NFI_Expiration=1,IF($A65&lt;VLOOKUP(M$5,NFI,5,0),1,0)*Data_NFI_t[[#This Row],[Sanitary Kit]],0)</f>
        <v>0</v>
      </c>
      <c r="AG65" s="1055">
        <f>IF(NFI_Expiration=1,IF($A65&lt;VLOOKUP(AC$5,NFI,5,0),1,0)*Data_NFI_t[[#This Row],[Rope]],0)</f>
        <v>0</v>
      </c>
      <c r="AH65" s="710">
        <f>IF(NFI_Expiration=1,IF($A65&lt;VLOOKUP(N$5,NFI,5,0),1,0)*Data_NFI_t[[#This Row],[Mosquito net]],0)</f>
        <v>0</v>
      </c>
      <c r="AI65" s="710">
        <f>IF(NFI_Expiration=1,IF($A65&lt;VLOOKUP(O$5,NFI,5,0),1,0)*Data_NFI_t[[#This Row],[Tarpaulin]],0)</f>
        <v>0</v>
      </c>
      <c r="AJ65" s="710">
        <f>IF(NFI_Expiration=1,IF($A65&lt;VLOOKUP(P$5,NFI,5,0),1,0)*Data_NFI_t[[#This Row],[Blanket]],0)</f>
        <v>0</v>
      </c>
      <c r="AK65" s="710">
        <f>IF(NFI_Expiration=1,IF($A65&lt;VLOOKUP(Q$5,NFI,5,0),1,0)*Data_NFI_t[[#This Row],[Kitchen Set]],0)</f>
        <v>0</v>
      </c>
      <c r="AL65" s="710">
        <f>IF(NFI_Expiration=1,IF($A65&lt;VLOOKUP(R$5,NFI,5,0),1,0)*Data_NFI_t[[#This Row],[Complementary Kit]],0)</f>
        <v>0</v>
      </c>
      <c r="AM65" s="710">
        <f>IF(NFI_Expiration=1,IF($A65&lt;VLOOKUP(S$5,NFI,5,0),1,0)*Data_NFI_t[[#This Row],[Plastic Bucket]],0)</f>
        <v>0</v>
      </c>
      <c r="AN65" s="709">
        <f>IF(NFI_Expiration=1,IF($A65&lt;VLOOKUP(T$5,NFI,5,0),1,0)*Data_NFI_t[[#This Row],[Jerry Can]],0)</f>
        <v>0</v>
      </c>
      <c r="AO65" s="709">
        <f>IF(NFI_Expiration=1,IF($A65&lt;VLOOKUP(U$5,NFI,5,0),1,0)*Data_NFI_t[[#This Row],[Plastic Mat]],0)</f>
        <v>0</v>
      </c>
      <c r="AP65" s="709">
        <f>IF(NFI_Expiration=1,IF($A65&lt;VLOOKUP(V$5,NFI,5,0),1,0)*Data_NFI_t[[#This Row],[Adult Clothes]],0)</f>
        <v>0</v>
      </c>
      <c r="AQ65" s="709">
        <f>IF(NFI_Expiration=1,IF($A65&lt;VLOOKUP(W$5,NFI,5,0),1,0)*Data_NFI_t[[#This Row],[Children Clothes]],0)</f>
        <v>0</v>
      </c>
      <c r="AR65" s="709">
        <f>IF(NFI_Expiration=1,IF($A65&lt;VLOOKUP(X$5,NFI,5,0),1,0)*Data_NFI_t[[#This Row],[Sewing Kit]],0)</f>
        <v>0</v>
      </c>
      <c r="AS65" s="709">
        <f>IF(NFI_Expiration=1,IF($A65&lt;VLOOKUP(X$5,NFI,5,0),1,0)*Data_NFI_t[[#This Row],[Solar Lantern]],0)</f>
        <v>0</v>
      </c>
      <c r="AT65" s="105" t="str">
        <f ca="1">IFERROR(OFFSET(Camp_List[P_Code],MATCH(Data_NFI_t[[#This Row],[Camp Name]],Camp_List[Camp Name],0)-1,0,1,1),"")</f>
        <v>MMR012CMP045</v>
      </c>
      <c r="AU65" s="412" t="str">
        <f ca="1">IFERROR(OFFSET(Camp_List[Status],MATCH(Data_NFI_t[[#This Row],[Camp Name]],Camp_List[Camp Name],0)-1,0,1,1),"")</f>
        <v>Open</v>
      </c>
      <c r="AV65" s="105"/>
      <c r="AY65" s="747"/>
    </row>
    <row r="66" spans="1:51" s="745" customFormat="1" ht="18" customHeight="1" x14ac:dyDescent="0.25">
      <c r="A66" s="711">
        <f t="shared" si="3"/>
        <v>11.2</v>
      </c>
      <c r="B66" s="712">
        <f>YEAR(Data_NFI_t[[#This Row],[Distribution Date]])</f>
        <v>2017</v>
      </c>
      <c r="C66" s="904">
        <v>43098</v>
      </c>
      <c r="D66" s="898" t="s">
        <v>1119</v>
      </c>
      <c r="E66" s="898" t="s">
        <v>1119</v>
      </c>
      <c r="F66" s="898" t="s">
        <v>7</v>
      </c>
      <c r="G66" s="713" t="s">
        <v>17</v>
      </c>
      <c r="H66" s="713" t="s">
        <v>586</v>
      </c>
      <c r="I66" s="205"/>
      <c r="J66" s="886">
        <v>2728</v>
      </c>
      <c r="K66" s="886">
        <v>13794</v>
      </c>
      <c r="L66" s="715">
        <v>2728</v>
      </c>
      <c r="M66" s="715"/>
      <c r="N66" s="716"/>
      <c r="O66" s="716"/>
      <c r="P66" s="716"/>
      <c r="Q66" s="716"/>
      <c r="R66" s="716"/>
      <c r="S66" s="716"/>
      <c r="T66" s="717"/>
      <c r="U66" s="716"/>
      <c r="V66" s="887"/>
      <c r="W66" s="887"/>
      <c r="X66" s="716"/>
      <c r="Y66" s="716"/>
      <c r="Z66" s="716"/>
      <c r="AA66" s="716"/>
      <c r="AB66" s="716"/>
      <c r="AC66" s="716"/>
      <c r="AD66" s="709">
        <f>IF(NFI_Expiration=1,IF($A66&lt;VLOOKUP(I$5,NFI,5,0),1,0)*Data_NFI_t[[#This Row],[Hygiene Kit]],0)</f>
        <v>0</v>
      </c>
      <c r="AE66" s="709">
        <f>IF(NFI_Expiration=1,IF($A66&lt;VLOOKUP(L$5,NFI,5,0),1,0)*Data_NFI_t[[#This Row],[NFI Core Kit]],0)</f>
        <v>2728</v>
      </c>
      <c r="AF66" s="710">
        <f>IF(NFI_Expiration=1,IF($A66&lt;VLOOKUP(M$5,NFI,5,0),1,0)*Data_NFI_t[[#This Row],[Sanitary Kit]],0)</f>
        <v>0</v>
      </c>
      <c r="AG66" s="1055">
        <f>IF(NFI_Expiration=1,IF($A66&lt;VLOOKUP(AC$5,NFI,5,0),1,0)*Data_NFI_t[[#This Row],[Rope]],0)</f>
        <v>0</v>
      </c>
      <c r="AH66" s="710">
        <f>IF(NFI_Expiration=1,IF($A66&lt;VLOOKUP(N$5,NFI,5,0),1,0)*Data_NFI_t[[#This Row],[Mosquito net]],0)</f>
        <v>0</v>
      </c>
      <c r="AI66" s="710">
        <f>IF(NFI_Expiration=1,IF($A66&lt;VLOOKUP(O$5,NFI,5,0),1,0)*Data_NFI_t[[#This Row],[Tarpaulin]],0)</f>
        <v>0</v>
      </c>
      <c r="AJ66" s="710">
        <f>IF(NFI_Expiration=1,IF($A66&lt;VLOOKUP(P$5,NFI,5,0),1,0)*Data_NFI_t[[#This Row],[Blanket]],0)</f>
        <v>0</v>
      </c>
      <c r="AK66" s="710">
        <f>IF(NFI_Expiration=1,IF($A66&lt;VLOOKUP(Q$5,NFI,5,0),1,0)*Data_NFI_t[[#This Row],[Kitchen Set]],0)</f>
        <v>0</v>
      </c>
      <c r="AL66" s="710">
        <f>IF(NFI_Expiration=1,IF($A66&lt;VLOOKUP(R$5,NFI,5,0),1,0)*Data_NFI_t[[#This Row],[Complementary Kit]],0)</f>
        <v>0</v>
      </c>
      <c r="AM66" s="710">
        <f>IF(NFI_Expiration=1,IF($A66&lt;VLOOKUP(S$5,NFI,5,0),1,0)*Data_NFI_t[[#This Row],[Plastic Bucket]],0)</f>
        <v>0</v>
      </c>
      <c r="AN66" s="709">
        <f>IF(NFI_Expiration=1,IF($A66&lt;VLOOKUP(T$5,NFI,5,0),1,0)*Data_NFI_t[[#This Row],[Jerry Can]],0)</f>
        <v>0</v>
      </c>
      <c r="AO66" s="709">
        <f>IF(NFI_Expiration=1,IF($A66&lt;VLOOKUP(U$5,NFI,5,0),1,0)*Data_NFI_t[[#This Row],[Plastic Mat]],0)</f>
        <v>0</v>
      </c>
      <c r="AP66" s="709">
        <f>IF(NFI_Expiration=1,IF($A66&lt;VLOOKUP(V$5,NFI,5,0),1,0)*Data_NFI_t[[#This Row],[Adult Clothes]],0)</f>
        <v>0</v>
      </c>
      <c r="AQ66" s="709">
        <f>IF(NFI_Expiration=1,IF($A66&lt;VLOOKUP(W$5,NFI,5,0),1,0)*Data_NFI_t[[#This Row],[Children Clothes]],0)</f>
        <v>0</v>
      </c>
      <c r="AR66" s="709">
        <f>IF(NFI_Expiration=1,IF($A66&lt;VLOOKUP(X$5,NFI,5,0),1,0)*Data_NFI_t[[#This Row],[Sewing Kit]],0)</f>
        <v>0</v>
      </c>
      <c r="AS66" s="709">
        <f>IF(NFI_Expiration=1,IF($A66&lt;VLOOKUP(X$5,NFI,5,0),1,0)*Data_NFI_t[[#This Row],[Solar Lantern]],0)</f>
        <v>0</v>
      </c>
      <c r="AT66" s="105" t="str">
        <f ca="1">IFERROR(OFFSET(Camp_List[P_Code],MATCH(Data_NFI_t[[#This Row],[Camp Name]],Camp_List[Camp Name],0)-1,0,1,1),"")</f>
        <v>MMR012CMP115</v>
      </c>
      <c r="AU66" s="412" t="str">
        <f ca="1">IFERROR(OFFSET(Camp_List[Status],MATCH(Data_NFI_t[[#This Row],[Camp Name]],Camp_List[Camp Name],0)-1,0,1,1),"")</f>
        <v>Open</v>
      </c>
      <c r="AV66" s="105"/>
      <c r="AY66" s="747"/>
    </row>
    <row r="67" spans="1:51" s="745" customFormat="1" ht="18" customHeight="1" x14ac:dyDescent="0.25">
      <c r="A67" s="711">
        <f t="shared" si="3"/>
        <v>11.2</v>
      </c>
      <c r="B67" s="712">
        <f>YEAR(Data_NFI_t[[#This Row],[Distribution Date]])</f>
        <v>2017</v>
      </c>
      <c r="C67" s="904">
        <v>43098</v>
      </c>
      <c r="D67" s="708" t="s">
        <v>1119</v>
      </c>
      <c r="E67" s="708" t="s">
        <v>1119</v>
      </c>
      <c r="F67" s="708" t="s">
        <v>7</v>
      </c>
      <c r="G67" s="713" t="s">
        <v>17</v>
      </c>
      <c r="H67" s="713" t="s">
        <v>580</v>
      </c>
      <c r="I67" s="205"/>
      <c r="J67" s="886">
        <v>656</v>
      </c>
      <c r="K67" s="886">
        <v>3432</v>
      </c>
      <c r="L67" s="715">
        <v>656</v>
      </c>
      <c r="M67" s="715"/>
      <c r="N67" s="716"/>
      <c r="O67" s="716"/>
      <c r="P67" s="716"/>
      <c r="Q67" s="716"/>
      <c r="R67" s="716"/>
      <c r="S67" s="716"/>
      <c r="T67" s="717"/>
      <c r="U67" s="716"/>
      <c r="V67" s="887"/>
      <c r="W67" s="887"/>
      <c r="X67" s="716"/>
      <c r="Y67" s="716"/>
      <c r="Z67" s="716"/>
      <c r="AA67" s="716"/>
      <c r="AB67" s="716"/>
      <c r="AC67" s="716"/>
      <c r="AD67" s="709">
        <f>IF(NFI_Expiration=1,IF($A67&lt;VLOOKUP(I$5,NFI,5,0),1,0)*Data_NFI_t[[#This Row],[Hygiene Kit]],0)</f>
        <v>0</v>
      </c>
      <c r="AE67" s="709">
        <f>IF(NFI_Expiration=1,IF($A67&lt;VLOOKUP(L$5,NFI,5,0),1,0)*Data_NFI_t[[#This Row],[NFI Core Kit]],0)</f>
        <v>656</v>
      </c>
      <c r="AF67" s="710">
        <f>IF(NFI_Expiration=1,IF($A67&lt;VLOOKUP(M$5,NFI,5,0),1,0)*Data_NFI_t[[#This Row],[Sanitary Kit]],0)</f>
        <v>0</v>
      </c>
      <c r="AG67" s="1055">
        <f>IF(NFI_Expiration=1,IF($A67&lt;VLOOKUP(AC$5,NFI,5,0),1,0)*Data_NFI_t[[#This Row],[Rope]],0)</f>
        <v>0</v>
      </c>
      <c r="AH67" s="710">
        <f>IF(NFI_Expiration=1,IF($A67&lt;VLOOKUP(N$5,NFI,5,0),1,0)*Data_NFI_t[[#This Row],[Mosquito net]],0)</f>
        <v>0</v>
      </c>
      <c r="AI67" s="710">
        <f>IF(NFI_Expiration=1,IF($A67&lt;VLOOKUP(O$5,NFI,5,0),1,0)*Data_NFI_t[[#This Row],[Tarpaulin]],0)</f>
        <v>0</v>
      </c>
      <c r="AJ67" s="710">
        <f>IF(NFI_Expiration=1,IF($A67&lt;VLOOKUP(P$5,NFI,5,0),1,0)*Data_NFI_t[[#This Row],[Blanket]],0)</f>
        <v>0</v>
      </c>
      <c r="AK67" s="710">
        <f>IF(NFI_Expiration=1,IF($A67&lt;VLOOKUP(Q$5,NFI,5,0),1,0)*Data_NFI_t[[#This Row],[Kitchen Set]],0)</f>
        <v>0</v>
      </c>
      <c r="AL67" s="710">
        <f>IF(NFI_Expiration=1,IF($A67&lt;VLOOKUP(R$5,NFI,5,0),1,0)*Data_NFI_t[[#This Row],[Complementary Kit]],0)</f>
        <v>0</v>
      </c>
      <c r="AM67" s="710">
        <f>IF(NFI_Expiration=1,IF($A67&lt;VLOOKUP(S$5,NFI,5,0),1,0)*Data_NFI_t[[#This Row],[Plastic Bucket]],0)</f>
        <v>0</v>
      </c>
      <c r="AN67" s="709">
        <f>IF(NFI_Expiration=1,IF($A67&lt;VLOOKUP(T$5,NFI,5,0),1,0)*Data_NFI_t[[#This Row],[Jerry Can]],0)</f>
        <v>0</v>
      </c>
      <c r="AO67" s="709">
        <f>IF(NFI_Expiration=1,IF($A67&lt;VLOOKUP(U$5,NFI,5,0),1,0)*Data_NFI_t[[#This Row],[Plastic Mat]],0)</f>
        <v>0</v>
      </c>
      <c r="AP67" s="709">
        <f>IF(NFI_Expiration=1,IF($A67&lt;VLOOKUP(V$5,NFI,5,0),1,0)*Data_NFI_t[[#This Row],[Adult Clothes]],0)</f>
        <v>0</v>
      </c>
      <c r="AQ67" s="709">
        <f>IF(NFI_Expiration=1,IF($A67&lt;VLOOKUP(W$5,NFI,5,0),1,0)*Data_NFI_t[[#This Row],[Children Clothes]],0)</f>
        <v>0</v>
      </c>
      <c r="AR67" s="709">
        <f>IF(NFI_Expiration=1,IF($A67&lt;VLOOKUP(X$5,NFI,5,0),1,0)*Data_NFI_t[[#This Row],[Sewing Kit]],0)</f>
        <v>0</v>
      </c>
      <c r="AS67" s="709">
        <f>IF(NFI_Expiration=1,IF($A67&lt;VLOOKUP(X$5,NFI,5,0),1,0)*Data_NFI_t[[#This Row],[Solar Lantern]],0)</f>
        <v>0</v>
      </c>
      <c r="AT67" s="754" t="str">
        <f ca="1">IFERROR(OFFSET(Camp_List[P_Code],MATCH(Data_NFI_t[[#This Row],[Camp Name]],Camp_List[Camp Name],0)-1,0,1,1),"")</f>
        <v>MMR012CMP092</v>
      </c>
      <c r="AU67" s="755" t="str">
        <f ca="1">IFERROR(OFFSET(Camp_List[Status],MATCH(Data_NFI_t[[#This Row],[Camp Name]],Camp_List[Camp Name],0)-1,0,1,1),"")</f>
        <v>Open</v>
      </c>
      <c r="AV67" s="754"/>
      <c r="AY67" s="747"/>
    </row>
    <row r="68" spans="1:51" s="745" customFormat="1" ht="18" customHeight="1" x14ac:dyDescent="0.25">
      <c r="A68" s="711">
        <f t="shared" si="3"/>
        <v>11.433333333333334</v>
      </c>
      <c r="B68" s="712">
        <f>YEAR(Data_NFI_t[[#This Row],[Distribution Date]])</f>
        <v>2017</v>
      </c>
      <c r="C68" s="904">
        <v>43091</v>
      </c>
      <c r="D68" s="708" t="s">
        <v>270</v>
      </c>
      <c r="E68" s="708" t="s">
        <v>273</v>
      </c>
      <c r="F68" s="708" t="s">
        <v>7</v>
      </c>
      <c r="G68" s="713" t="s">
        <v>13</v>
      </c>
      <c r="H68" s="713" t="s">
        <v>40</v>
      </c>
      <c r="I68" s="205"/>
      <c r="J68" s="886">
        <v>1328</v>
      </c>
      <c r="K68" s="886">
        <v>6028</v>
      </c>
      <c r="L68" s="715"/>
      <c r="M68" s="715"/>
      <c r="N68" s="716">
        <v>2702</v>
      </c>
      <c r="O68" s="716"/>
      <c r="P68" s="716">
        <v>2702</v>
      </c>
      <c r="Q68" s="716">
        <v>1351</v>
      </c>
      <c r="R68" s="716"/>
      <c r="S68" s="716"/>
      <c r="T68" s="717"/>
      <c r="U68" s="716">
        <v>6755</v>
      </c>
      <c r="V68" s="887"/>
      <c r="W68" s="887"/>
      <c r="X68" s="716"/>
      <c r="Y68" s="716"/>
      <c r="Z68" s="716"/>
      <c r="AA68" s="716"/>
      <c r="AB68" s="716"/>
      <c r="AC68" s="716"/>
      <c r="AD68" s="709">
        <f>IF(NFI_Expiration=1,IF($A68&lt;VLOOKUP(I$5,NFI,5,0),1,0)*Data_NFI_t[[#This Row],[Hygiene Kit]],0)</f>
        <v>0</v>
      </c>
      <c r="AE68" s="709">
        <f>IF(NFI_Expiration=1,IF($A68&lt;VLOOKUP(L$5,NFI,5,0),1,0)*Data_NFI_t[[#This Row],[NFI Core Kit]],0)</f>
        <v>0</v>
      </c>
      <c r="AF68" s="710">
        <f>IF(NFI_Expiration=1,IF($A68&lt;VLOOKUP(M$5,NFI,5,0),1,0)*Data_NFI_t[[#This Row],[Sanitary Kit]],0)</f>
        <v>0</v>
      </c>
      <c r="AG68" s="1055">
        <f>IF(NFI_Expiration=1,IF($A68&lt;VLOOKUP(AC$5,NFI,5,0),1,0)*Data_NFI_t[[#This Row],[Rope]],0)</f>
        <v>0</v>
      </c>
      <c r="AH68" s="710">
        <f>IF(NFI_Expiration=1,IF($A68&lt;VLOOKUP(N$5,NFI,5,0),1,0)*Data_NFI_t[[#This Row],[Mosquito net]],0)</f>
        <v>2702</v>
      </c>
      <c r="AI68" s="710">
        <f>IF(NFI_Expiration=1,IF($A68&lt;VLOOKUP(O$5,NFI,5,0),1,0)*Data_NFI_t[[#This Row],[Tarpaulin]],0)</f>
        <v>0</v>
      </c>
      <c r="AJ68" s="710">
        <f>IF(NFI_Expiration=1,IF($A68&lt;VLOOKUP(P$5,NFI,5,0),1,0)*Data_NFI_t[[#This Row],[Blanket]],0)</f>
        <v>2702</v>
      </c>
      <c r="AK68" s="710">
        <f>IF(NFI_Expiration=1,IF($A68&lt;VLOOKUP(Q$5,NFI,5,0),1,0)*Data_NFI_t[[#This Row],[Kitchen Set]],0)</f>
        <v>1351</v>
      </c>
      <c r="AL68" s="710">
        <f>IF(NFI_Expiration=1,IF($A68&lt;VLOOKUP(R$5,NFI,5,0),1,0)*Data_NFI_t[[#This Row],[Complementary Kit]],0)</f>
        <v>0</v>
      </c>
      <c r="AM68" s="710">
        <f>IF(NFI_Expiration=1,IF($A68&lt;VLOOKUP(S$5,NFI,5,0),1,0)*Data_NFI_t[[#This Row],[Plastic Bucket]],0)</f>
        <v>0</v>
      </c>
      <c r="AN68" s="709">
        <f>IF(NFI_Expiration=1,IF($A68&lt;VLOOKUP(T$5,NFI,5,0),1,0)*Data_NFI_t[[#This Row],[Jerry Can]],0)</f>
        <v>0</v>
      </c>
      <c r="AO68" s="709">
        <f>IF(NFI_Expiration=1,IF($A68&lt;VLOOKUP(U$5,NFI,5,0),1,0)*Data_NFI_t[[#This Row],[Plastic Mat]],0)</f>
        <v>6755</v>
      </c>
      <c r="AP68" s="709">
        <f>IF(NFI_Expiration=1,IF($A68&lt;VLOOKUP(V$5,NFI,5,0),1,0)*Data_NFI_t[[#This Row],[Adult Clothes]],0)</f>
        <v>0</v>
      </c>
      <c r="AQ68" s="709">
        <f>IF(NFI_Expiration=1,IF($A68&lt;VLOOKUP(W$5,NFI,5,0),1,0)*Data_NFI_t[[#This Row],[Children Clothes]],0)</f>
        <v>0</v>
      </c>
      <c r="AR68" s="709">
        <f>IF(NFI_Expiration=1,IF($A68&lt;VLOOKUP(X$5,NFI,5,0),1,0)*Data_NFI_t[[#This Row],[Sewing Kit]],0)</f>
        <v>0</v>
      </c>
      <c r="AS68" s="709">
        <f>IF(NFI_Expiration=1,IF($A68&lt;VLOOKUP(X$5,NFI,5,0),1,0)*Data_NFI_t[[#This Row],[Solar Lantern]],0)</f>
        <v>0</v>
      </c>
      <c r="AT68" s="754" t="str">
        <f ca="1">IFERROR(OFFSET(Camp_List[P_Code],MATCH(Data_NFI_t[[#This Row],[Camp Name]],Camp_List[Camp Name],0)-1,0,1,1),"")</f>
        <v>MMR012CMP018</v>
      </c>
      <c r="AU68" s="755" t="str">
        <f ca="1">IFERROR(OFFSET(Camp_List[Status],MATCH(Data_NFI_t[[#This Row],[Camp Name]],Camp_List[Camp Name],0)-1,0,1,1),"")</f>
        <v>Open</v>
      </c>
      <c r="AV68" s="754"/>
      <c r="AY68" s="747"/>
    </row>
    <row r="69" spans="1:51" s="745" customFormat="1" ht="18" customHeight="1" x14ac:dyDescent="0.25">
      <c r="A69" s="711">
        <f t="shared" si="3"/>
        <v>11.9</v>
      </c>
      <c r="B69" s="712">
        <f>YEAR(Data_NFI_t[[#This Row],[Distribution Date]])</f>
        <v>2017</v>
      </c>
      <c r="C69" s="904">
        <v>43077</v>
      </c>
      <c r="D69" s="708" t="s">
        <v>270</v>
      </c>
      <c r="E69" s="708" t="s">
        <v>273</v>
      </c>
      <c r="F69" s="708" t="s">
        <v>7</v>
      </c>
      <c r="G69" s="713" t="s">
        <v>13</v>
      </c>
      <c r="H69" s="713" t="s">
        <v>40</v>
      </c>
      <c r="I69" s="205"/>
      <c r="J69" s="886">
        <v>50</v>
      </c>
      <c r="K69" s="886">
        <v>254</v>
      </c>
      <c r="L69" s="715"/>
      <c r="M69" s="715"/>
      <c r="N69" s="716"/>
      <c r="O69" s="716">
        <v>100</v>
      </c>
      <c r="P69" s="716">
        <v>100</v>
      </c>
      <c r="Q69" s="716">
        <v>50</v>
      </c>
      <c r="R69" s="716"/>
      <c r="S69" s="716">
        <v>50</v>
      </c>
      <c r="T69" s="717">
        <v>50</v>
      </c>
      <c r="U69" s="716">
        <v>250</v>
      </c>
      <c r="V69" s="887"/>
      <c r="W69" s="887"/>
      <c r="X69" s="716"/>
      <c r="Y69" s="716"/>
      <c r="Z69" s="716"/>
      <c r="AA69" s="716"/>
      <c r="AB69" s="716"/>
      <c r="AC69" s="716"/>
      <c r="AD69" s="709">
        <f>IF(NFI_Expiration=1,IF($A69&lt;VLOOKUP(I$5,NFI,5,0),1,0)*Data_NFI_t[[#This Row],[Hygiene Kit]],0)</f>
        <v>0</v>
      </c>
      <c r="AE69" s="709">
        <f>IF(NFI_Expiration=1,IF($A69&lt;VLOOKUP(L$5,NFI,5,0),1,0)*Data_NFI_t[[#This Row],[NFI Core Kit]],0)</f>
        <v>0</v>
      </c>
      <c r="AF69" s="710">
        <f>IF(NFI_Expiration=1,IF($A69&lt;VLOOKUP(M$5,NFI,5,0),1,0)*Data_NFI_t[[#This Row],[Sanitary Kit]],0)</f>
        <v>0</v>
      </c>
      <c r="AG69" s="1055">
        <f>IF(NFI_Expiration=1,IF($A69&lt;VLOOKUP(AC$5,NFI,5,0),1,0)*Data_NFI_t[[#This Row],[Rope]],0)</f>
        <v>0</v>
      </c>
      <c r="AH69" s="710">
        <f>IF(NFI_Expiration=1,IF($A69&lt;VLOOKUP(N$5,NFI,5,0),1,0)*Data_NFI_t[[#This Row],[Mosquito net]],0)</f>
        <v>0</v>
      </c>
      <c r="AI69" s="710">
        <f>IF(NFI_Expiration=1,IF($A69&lt;VLOOKUP(O$5,NFI,5,0),1,0)*Data_NFI_t[[#This Row],[Tarpaulin]],0)</f>
        <v>100</v>
      </c>
      <c r="AJ69" s="710">
        <f>IF(NFI_Expiration=1,IF($A69&lt;VLOOKUP(P$5,NFI,5,0),1,0)*Data_NFI_t[[#This Row],[Blanket]],0)</f>
        <v>100</v>
      </c>
      <c r="AK69" s="710">
        <f>IF(NFI_Expiration=1,IF($A69&lt;VLOOKUP(Q$5,NFI,5,0),1,0)*Data_NFI_t[[#This Row],[Kitchen Set]],0)</f>
        <v>50</v>
      </c>
      <c r="AL69" s="710">
        <f>IF(NFI_Expiration=1,IF($A69&lt;VLOOKUP(R$5,NFI,5,0),1,0)*Data_NFI_t[[#This Row],[Complementary Kit]],0)</f>
        <v>0</v>
      </c>
      <c r="AM69" s="710">
        <f>IF(NFI_Expiration=1,IF($A69&lt;VLOOKUP(S$5,NFI,5,0),1,0)*Data_NFI_t[[#This Row],[Plastic Bucket]],0)</f>
        <v>50</v>
      </c>
      <c r="AN69" s="709">
        <f>IF(NFI_Expiration=1,IF($A69&lt;VLOOKUP(T$5,NFI,5,0),1,0)*Data_NFI_t[[#This Row],[Jerry Can]],0)</f>
        <v>50</v>
      </c>
      <c r="AO69" s="709">
        <f>IF(NFI_Expiration=1,IF($A69&lt;VLOOKUP(U$5,NFI,5,0),1,0)*Data_NFI_t[[#This Row],[Plastic Mat]],0)</f>
        <v>250</v>
      </c>
      <c r="AP69" s="709">
        <f>IF(NFI_Expiration=1,IF($A69&lt;VLOOKUP(V$5,NFI,5,0),1,0)*Data_NFI_t[[#This Row],[Adult Clothes]],0)</f>
        <v>0</v>
      </c>
      <c r="AQ69" s="709">
        <f>IF(NFI_Expiration=1,IF($A69&lt;VLOOKUP(W$5,NFI,5,0),1,0)*Data_NFI_t[[#This Row],[Children Clothes]],0)</f>
        <v>0</v>
      </c>
      <c r="AR69" s="709">
        <f>IF(NFI_Expiration=1,IF($A69&lt;VLOOKUP(X$5,NFI,5,0),1,0)*Data_NFI_t[[#This Row],[Sewing Kit]],0)</f>
        <v>0</v>
      </c>
      <c r="AS69" s="709">
        <f>IF(NFI_Expiration=1,IF($A69&lt;VLOOKUP(X$5,NFI,5,0),1,0)*Data_NFI_t[[#This Row],[Solar Lantern]],0)</f>
        <v>0</v>
      </c>
      <c r="AT69" s="105" t="str">
        <f ca="1">IFERROR(OFFSET(Camp_List[P_Code],MATCH(Data_NFI_t[[#This Row],[Camp Name]],Camp_List[Camp Name],0)-1,0,1,1),"")</f>
        <v>MMR012CMP018</v>
      </c>
      <c r="AU69" s="412" t="str">
        <f ca="1">IFERROR(OFFSET(Camp_List[Status],MATCH(Data_NFI_t[[#This Row],[Camp Name]],Camp_List[Camp Name],0)-1,0,1,1),"")</f>
        <v>Open</v>
      </c>
      <c r="AV69" s="897" t="s">
        <v>1121</v>
      </c>
      <c r="AY69" s="747"/>
    </row>
    <row r="70" spans="1:51" s="745" customFormat="1" ht="18" customHeight="1" x14ac:dyDescent="0.25">
      <c r="A70" s="711">
        <f t="shared" si="3"/>
        <v>11.966666666666667</v>
      </c>
      <c r="B70" s="712">
        <f>YEAR(Data_NFI_t[[#This Row],[Distribution Date]])</f>
        <v>2017</v>
      </c>
      <c r="C70" s="904">
        <v>43075</v>
      </c>
      <c r="D70" s="708" t="s">
        <v>270</v>
      </c>
      <c r="E70" s="708" t="s">
        <v>904</v>
      </c>
      <c r="F70" s="708" t="s">
        <v>7</v>
      </c>
      <c r="G70" s="713" t="s">
        <v>17</v>
      </c>
      <c r="H70" s="713" t="s">
        <v>580</v>
      </c>
      <c r="I70" s="205"/>
      <c r="J70" s="886">
        <v>24</v>
      </c>
      <c r="K70" s="886">
        <v>130</v>
      </c>
      <c r="L70" s="715"/>
      <c r="M70" s="715"/>
      <c r="N70" s="716"/>
      <c r="O70" s="716">
        <v>48</v>
      </c>
      <c r="P70" s="716"/>
      <c r="Q70" s="716"/>
      <c r="R70" s="716"/>
      <c r="S70" s="716"/>
      <c r="T70" s="717"/>
      <c r="U70" s="716"/>
      <c r="V70" s="887"/>
      <c r="W70" s="887"/>
      <c r="X70" s="716"/>
      <c r="Y70" s="716"/>
      <c r="Z70" s="716"/>
      <c r="AA70" s="716"/>
      <c r="AB70" s="716"/>
      <c r="AC70" s="716"/>
      <c r="AD70" s="709">
        <f>IF(NFI_Expiration=1,IF($A70&lt;VLOOKUP(I$5,NFI,5,0),1,0)*Data_NFI_t[[#This Row],[Hygiene Kit]],0)</f>
        <v>0</v>
      </c>
      <c r="AE70" s="709">
        <f>IF(NFI_Expiration=1,IF($A70&lt;VLOOKUP(L$5,NFI,5,0),1,0)*Data_NFI_t[[#This Row],[NFI Core Kit]],0)</f>
        <v>0</v>
      </c>
      <c r="AF70" s="710">
        <f>IF(NFI_Expiration=1,IF($A70&lt;VLOOKUP(M$5,NFI,5,0),1,0)*Data_NFI_t[[#This Row],[Sanitary Kit]],0)</f>
        <v>0</v>
      </c>
      <c r="AG70" s="1055">
        <f>IF(NFI_Expiration=1,IF($A70&lt;VLOOKUP(AC$5,NFI,5,0),1,0)*Data_NFI_t[[#This Row],[Rope]],0)</f>
        <v>0</v>
      </c>
      <c r="AH70" s="710">
        <f>IF(NFI_Expiration=1,IF($A70&lt;VLOOKUP(N$5,NFI,5,0),1,0)*Data_NFI_t[[#This Row],[Mosquito net]],0)</f>
        <v>0</v>
      </c>
      <c r="AI70" s="710">
        <f>IF(NFI_Expiration=1,IF($A70&lt;VLOOKUP(O$5,NFI,5,0),1,0)*Data_NFI_t[[#This Row],[Tarpaulin]],0)</f>
        <v>48</v>
      </c>
      <c r="AJ70" s="710">
        <f>IF(NFI_Expiration=1,IF($A70&lt;VLOOKUP(P$5,NFI,5,0),1,0)*Data_NFI_t[[#This Row],[Blanket]],0)</f>
        <v>0</v>
      </c>
      <c r="AK70" s="710">
        <f>IF(NFI_Expiration=1,IF($A70&lt;VLOOKUP(Q$5,NFI,5,0),1,0)*Data_NFI_t[[#This Row],[Kitchen Set]],0)</f>
        <v>0</v>
      </c>
      <c r="AL70" s="710">
        <f>IF(NFI_Expiration=1,IF($A70&lt;VLOOKUP(R$5,NFI,5,0),1,0)*Data_NFI_t[[#This Row],[Complementary Kit]],0)</f>
        <v>0</v>
      </c>
      <c r="AM70" s="710">
        <f>IF(NFI_Expiration=1,IF($A70&lt;VLOOKUP(S$5,NFI,5,0),1,0)*Data_NFI_t[[#This Row],[Plastic Bucket]],0)</f>
        <v>0</v>
      </c>
      <c r="AN70" s="709">
        <f>IF(NFI_Expiration=1,IF($A70&lt;VLOOKUP(T$5,NFI,5,0),1,0)*Data_NFI_t[[#This Row],[Jerry Can]],0)</f>
        <v>0</v>
      </c>
      <c r="AO70" s="709">
        <f>IF(NFI_Expiration=1,IF($A70&lt;VLOOKUP(U$5,NFI,5,0),1,0)*Data_NFI_t[[#This Row],[Plastic Mat]],0)</f>
        <v>0</v>
      </c>
      <c r="AP70" s="709">
        <f>IF(NFI_Expiration=1,IF($A70&lt;VLOOKUP(V$5,NFI,5,0),1,0)*Data_NFI_t[[#This Row],[Adult Clothes]],0)</f>
        <v>0</v>
      </c>
      <c r="AQ70" s="709">
        <f>IF(NFI_Expiration=1,IF($A70&lt;VLOOKUP(W$5,NFI,5,0),1,0)*Data_NFI_t[[#This Row],[Children Clothes]],0)</f>
        <v>0</v>
      </c>
      <c r="AR70" s="709">
        <f>IF(NFI_Expiration=1,IF($A70&lt;VLOOKUP(X$5,NFI,5,0),1,0)*Data_NFI_t[[#This Row],[Sewing Kit]],0)</f>
        <v>0</v>
      </c>
      <c r="AS70" s="709">
        <f>IF(NFI_Expiration=1,IF($A70&lt;VLOOKUP(X$5,NFI,5,0),1,0)*Data_NFI_t[[#This Row],[Solar Lantern]],0)</f>
        <v>0</v>
      </c>
      <c r="AT70" s="105" t="str">
        <f ca="1">IFERROR(OFFSET(Camp_List[P_Code],MATCH(Data_NFI_t[[#This Row],[Camp Name]],Camp_List[Camp Name],0)-1,0,1,1),"")</f>
        <v>MMR012CMP092</v>
      </c>
      <c r="AU70" s="412" t="str">
        <f ca="1">IFERROR(OFFSET(Camp_List[Status],MATCH(Data_NFI_t[[#This Row],[Camp Name]],Camp_List[Camp Name],0)-1,0,1,1),"")</f>
        <v>Open</v>
      </c>
      <c r="AV70" s="105"/>
      <c r="AY70" s="747"/>
    </row>
    <row r="71" spans="1:51" s="745" customFormat="1" ht="20.25" customHeight="1" x14ac:dyDescent="0.25">
      <c r="A71" s="711">
        <f t="shared" si="3"/>
        <v>12.166666666666666</v>
      </c>
      <c r="B71" s="712">
        <f>YEAR(Data_NFI_t[[#This Row],[Distribution Date]])</f>
        <v>2017</v>
      </c>
      <c r="C71" s="904">
        <v>43069</v>
      </c>
      <c r="D71" s="708" t="s">
        <v>1119</v>
      </c>
      <c r="E71" s="708" t="s">
        <v>1119</v>
      </c>
      <c r="F71" s="708" t="s">
        <v>7</v>
      </c>
      <c r="G71" s="713" t="s">
        <v>17</v>
      </c>
      <c r="H71" s="713" t="s">
        <v>497</v>
      </c>
      <c r="I71" s="205"/>
      <c r="J71" s="886">
        <v>299</v>
      </c>
      <c r="K71" s="886">
        <v>1645</v>
      </c>
      <c r="L71" s="715">
        <v>299</v>
      </c>
      <c r="M71" s="715"/>
      <c r="N71" s="716"/>
      <c r="O71" s="716"/>
      <c r="P71" s="716"/>
      <c r="Q71" s="716"/>
      <c r="R71" s="716"/>
      <c r="S71" s="716"/>
      <c r="T71" s="717"/>
      <c r="U71" s="716"/>
      <c r="V71" s="887"/>
      <c r="W71" s="887"/>
      <c r="X71" s="716"/>
      <c r="Y71" s="716"/>
      <c r="Z71" s="716"/>
      <c r="AA71" s="716"/>
      <c r="AB71" s="716"/>
      <c r="AC71" s="716"/>
      <c r="AD71" s="709">
        <f>IF(NFI_Expiration=1,IF($A71&lt;VLOOKUP(I$5,NFI,5,0),1,0)*Data_NFI_t[[#This Row],[Hygiene Kit]],0)</f>
        <v>0</v>
      </c>
      <c r="AE71" s="709">
        <f>IF(NFI_Expiration=1,IF($A71&lt;VLOOKUP(L$5,NFI,5,0),1,0)*Data_NFI_t[[#This Row],[NFI Core Kit]],0)</f>
        <v>0</v>
      </c>
      <c r="AF71" s="710">
        <f>IF(NFI_Expiration=1,IF($A71&lt;VLOOKUP(M$5,NFI,5,0),1,0)*Data_NFI_t[[#This Row],[Sanitary Kit]],0)</f>
        <v>0</v>
      </c>
      <c r="AG71" s="1055">
        <f>IF(NFI_Expiration=1,IF($A71&lt;VLOOKUP(AC$5,NFI,5,0),1,0)*Data_NFI_t[[#This Row],[Rope]],0)</f>
        <v>0</v>
      </c>
      <c r="AH71" s="710">
        <f>IF(NFI_Expiration=1,IF($A71&lt;VLOOKUP(N$5,NFI,5,0),1,0)*Data_NFI_t[[#This Row],[Mosquito net]],0)</f>
        <v>0</v>
      </c>
      <c r="AI71" s="710">
        <f>IF(NFI_Expiration=1,IF($A71&lt;VLOOKUP(O$5,NFI,5,0),1,0)*Data_NFI_t[[#This Row],[Tarpaulin]],0)</f>
        <v>0</v>
      </c>
      <c r="AJ71" s="710">
        <f>IF(NFI_Expiration=1,IF($A71&lt;VLOOKUP(P$5,NFI,5,0),1,0)*Data_NFI_t[[#This Row],[Blanket]],0)</f>
        <v>0</v>
      </c>
      <c r="AK71" s="710">
        <f>IF(NFI_Expiration=1,IF($A71&lt;VLOOKUP(Q$5,NFI,5,0),1,0)*Data_NFI_t[[#This Row],[Kitchen Set]],0)</f>
        <v>0</v>
      </c>
      <c r="AL71" s="710">
        <f>IF(NFI_Expiration=1,IF($A71&lt;VLOOKUP(R$5,NFI,5,0),1,0)*Data_NFI_t[[#This Row],[Complementary Kit]],0)</f>
        <v>0</v>
      </c>
      <c r="AM71" s="710">
        <f>IF(NFI_Expiration=1,IF($A71&lt;VLOOKUP(S$5,NFI,5,0),1,0)*Data_NFI_t[[#This Row],[Plastic Bucket]],0)</f>
        <v>0</v>
      </c>
      <c r="AN71" s="709">
        <f>IF(NFI_Expiration=1,IF($A71&lt;VLOOKUP(T$5,NFI,5,0),1,0)*Data_NFI_t[[#This Row],[Jerry Can]],0)</f>
        <v>0</v>
      </c>
      <c r="AO71" s="709">
        <f>IF(NFI_Expiration=1,IF($A71&lt;VLOOKUP(U$5,NFI,5,0),1,0)*Data_NFI_t[[#This Row],[Plastic Mat]],0)</f>
        <v>0</v>
      </c>
      <c r="AP71" s="709">
        <f>IF(NFI_Expiration=1,IF($A71&lt;VLOOKUP(V$5,NFI,5,0),1,0)*Data_NFI_t[[#This Row],[Adult Clothes]],0)</f>
        <v>0</v>
      </c>
      <c r="AQ71" s="709">
        <f>IF(NFI_Expiration=1,IF($A71&lt;VLOOKUP(W$5,NFI,5,0),1,0)*Data_NFI_t[[#This Row],[Children Clothes]],0)</f>
        <v>0</v>
      </c>
      <c r="AR71" s="709">
        <f>IF(NFI_Expiration=1,IF($A71&lt;VLOOKUP(X$5,NFI,5,0),1,0)*Data_NFI_t[[#This Row],[Sewing Kit]],0)</f>
        <v>0</v>
      </c>
      <c r="AS71" s="709">
        <f>IF(NFI_Expiration=1,IF($A71&lt;VLOOKUP(X$5,NFI,5,0),1,0)*Data_NFI_t[[#This Row],[Solar Lantern]],0)</f>
        <v>0</v>
      </c>
      <c r="AT71" s="754" t="str">
        <f ca="1">IFERROR(OFFSET(Camp_List[P_Code],MATCH(Data_NFI_t[[#This Row],[Camp Name]],Camp_List[Camp Name],0)-1,0,1,1),"")</f>
        <v>MMR012CMP091</v>
      </c>
      <c r="AU71" s="755" t="str">
        <f ca="1">IFERROR(OFFSET(Camp_List[Status],MATCH(Data_NFI_t[[#This Row],[Camp Name]],Camp_List[Camp Name],0)-1,0,1,1),"")</f>
        <v>Open</v>
      </c>
      <c r="AV71" s="754"/>
      <c r="AY71" s="747"/>
    </row>
    <row r="72" spans="1:51" s="745" customFormat="1" ht="20.25" customHeight="1" x14ac:dyDescent="0.25">
      <c r="A72" s="711">
        <f t="shared" si="3"/>
        <v>12.166666666666666</v>
      </c>
      <c r="B72" s="712">
        <f>YEAR(Data_NFI_t[[#This Row],[Distribution Date]])</f>
        <v>2017</v>
      </c>
      <c r="C72" s="904">
        <v>43069</v>
      </c>
      <c r="D72" s="708" t="s">
        <v>1119</v>
      </c>
      <c r="E72" s="708" t="s">
        <v>1119</v>
      </c>
      <c r="F72" s="708" t="s">
        <v>7</v>
      </c>
      <c r="G72" s="713" t="s">
        <v>17</v>
      </c>
      <c r="H72" s="713" t="s">
        <v>68</v>
      </c>
      <c r="I72" s="205"/>
      <c r="J72" s="886">
        <v>1013</v>
      </c>
      <c r="K72" s="886">
        <v>5572</v>
      </c>
      <c r="L72" s="715">
        <v>1312</v>
      </c>
      <c r="M72" s="715"/>
      <c r="N72" s="716"/>
      <c r="O72" s="716"/>
      <c r="P72" s="716"/>
      <c r="Q72" s="716"/>
      <c r="R72" s="716"/>
      <c r="S72" s="716"/>
      <c r="T72" s="717"/>
      <c r="U72" s="716"/>
      <c r="V72" s="887"/>
      <c r="W72" s="887"/>
      <c r="X72" s="716"/>
      <c r="Y72" s="716"/>
      <c r="Z72" s="716"/>
      <c r="AA72" s="716"/>
      <c r="AB72" s="716"/>
      <c r="AC72" s="716"/>
      <c r="AD72" s="709">
        <f>IF(NFI_Expiration=1,IF($A72&lt;VLOOKUP(I$5,NFI,5,0),1,0)*Data_NFI_t[[#This Row],[Hygiene Kit]],0)</f>
        <v>0</v>
      </c>
      <c r="AE72" s="709">
        <f>IF(NFI_Expiration=1,IF($A72&lt;VLOOKUP(L$5,NFI,5,0),1,0)*Data_NFI_t[[#This Row],[NFI Core Kit]],0)</f>
        <v>0</v>
      </c>
      <c r="AF72" s="710">
        <f>IF(NFI_Expiration=1,IF($A72&lt;VLOOKUP(M$5,NFI,5,0),1,0)*Data_NFI_t[[#This Row],[Sanitary Kit]],0)</f>
        <v>0</v>
      </c>
      <c r="AG72" s="1055">
        <f>IF(NFI_Expiration=1,IF($A72&lt;VLOOKUP(AC$5,NFI,5,0),1,0)*Data_NFI_t[[#This Row],[Rope]],0)</f>
        <v>0</v>
      </c>
      <c r="AH72" s="710">
        <f>IF(NFI_Expiration=1,IF($A72&lt;VLOOKUP(N$5,NFI,5,0),1,0)*Data_NFI_t[[#This Row],[Mosquito net]],0)</f>
        <v>0</v>
      </c>
      <c r="AI72" s="710">
        <f>IF(NFI_Expiration=1,IF($A72&lt;VLOOKUP(O$5,NFI,5,0),1,0)*Data_NFI_t[[#This Row],[Tarpaulin]],0)</f>
        <v>0</v>
      </c>
      <c r="AJ72" s="710">
        <f>IF(NFI_Expiration=1,IF($A72&lt;VLOOKUP(P$5,NFI,5,0),1,0)*Data_NFI_t[[#This Row],[Blanket]],0)</f>
        <v>0</v>
      </c>
      <c r="AK72" s="710">
        <f>IF(NFI_Expiration=1,IF($A72&lt;VLOOKUP(Q$5,NFI,5,0),1,0)*Data_NFI_t[[#This Row],[Kitchen Set]],0)</f>
        <v>0</v>
      </c>
      <c r="AL72" s="710">
        <f>IF(NFI_Expiration=1,IF($A72&lt;VLOOKUP(R$5,NFI,5,0),1,0)*Data_NFI_t[[#This Row],[Complementary Kit]],0)</f>
        <v>0</v>
      </c>
      <c r="AM72" s="710">
        <f>IF(NFI_Expiration=1,IF($A72&lt;VLOOKUP(S$5,NFI,5,0),1,0)*Data_NFI_t[[#This Row],[Plastic Bucket]],0)</f>
        <v>0</v>
      </c>
      <c r="AN72" s="709">
        <f>IF(NFI_Expiration=1,IF($A72&lt;VLOOKUP(T$5,NFI,5,0),1,0)*Data_NFI_t[[#This Row],[Jerry Can]],0)</f>
        <v>0</v>
      </c>
      <c r="AO72" s="709">
        <f>IF(NFI_Expiration=1,IF($A72&lt;VLOOKUP(U$5,NFI,5,0),1,0)*Data_NFI_t[[#This Row],[Plastic Mat]],0)</f>
        <v>0</v>
      </c>
      <c r="AP72" s="709">
        <f>IF(NFI_Expiration=1,IF($A72&lt;VLOOKUP(V$5,NFI,5,0),1,0)*Data_NFI_t[[#This Row],[Adult Clothes]],0)</f>
        <v>0</v>
      </c>
      <c r="AQ72" s="709">
        <f>IF(NFI_Expiration=1,IF($A72&lt;VLOOKUP(W$5,NFI,5,0),1,0)*Data_NFI_t[[#This Row],[Children Clothes]],0)</f>
        <v>0</v>
      </c>
      <c r="AR72" s="709">
        <f>IF(NFI_Expiration=1,IF($A72&lt;VLOOKUP(X$5,NFI,5,0),1,0)*Data_NFI_t[[#This Row],[Sewing Kit]],0)</f>
        <v>0</v>
      </c>
      <c r="AS72" s="709">
        <f>IF(NFI_Expiration=1,IF($A72&lt;VLOOKUP(X$5,NFI,5,0),1,0)*Data_NFI_t[[#This Row],[Solar Lantern]],0)</f>
        <v>0</v>
      </c>
      <c r="AT72" s="105" t="str">
        <f ca="1">IFERROR(OFFSET(Camp_List[P_Code],MATCH(Data_NFI_t[[#This Row],[Camp Name]],Camp_List[Camp Name],0)-1,0,1,1),"")</f>
        <v>MMR012CMP048</v>
      </c>
      <c r="AU72" s="412" t="str">
        <f ca="1">IFERROR(OFFSET(Camp_List[Status],MATCH(Data_NFI_t[[#This Row],[Camp Name]],Camp_List[Camp Name],0)-1,0,1,1),"")</f>
        <v>Open</v>
      </c>
      <c r="AV72" s="105"/>
      <c r="AY72" s="747"/>
    </row>
    <row r="73" spans="1:51" s="745" customFormat="1" ht="20.25" customHeight="1" x14ac:dyDescent="0.25">
      <c r="A73" s="711">
        <f t="shared" si="3"/>
        <v>12.166666666666666</v>
      </c>
      <c r="B73" s="712">
        <f>YEAR(Data_NFI_t[[#This Row],[Distribution Date]])</f>
        <v>2017</v>
      </c>
      <c r="C73" s="904">
        <v>43069</v>
      </c>
      <c r="D73" s="708" t="s">
        <v>1119</v>
      </c>
      <c r="E73" s="708" t="s">
        <v>1119</v>
      </c>
      <c r="F73" s="708" t="s">
        <v>7</v>
      </c>
      <c r="G73" s="713" t="s">
        <v>17</v>
      </c>
      <c r="H73" s="713" t="s">
        <v>586</v>
      </c>
      <c r="I73" s="205"/>
      <c r="J73" s="886">
        <v>2728</v>
      </c>
      <c r="K73" s="886">
        <v>13794</v>
      </c>
      <c r="L73" s="715">
        <v>2728</v>
      </c>
      <c r="M73" s="715"/>
      <c r="N73" s="716"/>
      <c r="O73" s="716"/>
      <c r="P73" s="716"/>
      <c r="Q73" s="716"/>
      <c r="R73" s="716"/>
      <c r="S73" s="716"/>
      <c r="T73" s="717"/>
      <c r="U73" s="716"/>
      <c r="V73" s="887"/>
      <c r="W73" s="887"/>
      <c r="X73" s="716"/>
      <c r="Y73" s="716"/>
      <c r="Z73" s="716"/>
      <c r="AA73" s="716"/>
      <c r="AB73" s="716"/>
      <c r="AC73" s="716"/>
      <c r="AD73" s="709">
        <f>IF(NFI_Expiration=1,IF($A73&lt;VLOOKUP(I$5,NFI,5,0),1,0)*Data_NFI_t[[#This Row],[Hygiene Kit]],0)</f>
        <v>0</v>
      </c>
      <c r="AE73" s="709">
        <f>IF(NFI_Expiration=1,IF($A73&lt;VLOOKUP(L$5,NFI,5,0),1,0)*Data_NFI_t[[#This Row],[NFI Core Kit]],0)</f>
        <v>0</v>
      </c>
      <c r="AF73" s="710">
        <f>IF(NFI_Expiration=1,IF($A73&lt;VLOOKUP(M$5,NFI,5,0),1,0)*Data_NFI_t[[#This Row],[Sanitary Kit]],0)</f>
        <v>0</v>
      </c>
      <c r="AG73" s="1055">
        <f>IF(NFI_Expiration=1,IF($A73&lt;VLOOKUP(AC$5,NFI,5,0),1,0)*Data_NFI_t[[#This Row],[Rope]],0)</f>
        <v>0</v>
      </c>
      <c r="AH73" s="710">
        <f>IF(NFI_Expiration=1,IF($A73&lt;VLOOKUP(N$5,NFI,5,0),1,0)*Data_NFI_t[[#This Row],[Mosquito net]],0)</f>
        <v>0</v>
      </c>
      <c r="AI73" s="710">
        <f>IF(NFI_Expiration=1,IF($A73&lt;VLOOKUP(O$5,NFI,5,0),1,0)*Data_NFI_t[[#This Row],[Tarpaulin]],0)</f>
        <v>0</v>
      </c>
      <c r="AJ73" s="710">
        <f>IF(NFI_Expiration=1,IF($A73&lt;VLOOKUP(P$5,NFI,5,0),1,0)*Data_NFI_t[[#This Row],[Blanket]],0)</f>
        <v>0</v>
      </c>
      <c r="AK73" s="710">
        <f>IF(NFI_Expiration=1,IF($A73&lt;VLOOKUP(Q$5,NFI,5,0),1,0)*Data_NFI_t[[#This Row],[Kitchen Set]],0)</f>
        <v>0</v>
      </c>
      <c r="AL73" s="710">
        <f>IF(NFI_Expiration=1,IF($A73&lt;VLOOKUP(R$5,NFI,5,0),1,0)*Data_NFI_t[[#This Row],[Complementary Kit]],0)</f>
        <v>0</v>
      </c>
      <c r="AM73" s="710">
        <f>IF(NFI_Expiration=1,IF($A73&lt;VLOOKUP(S$5,NFI,5,0),1,0)*Data_NFI_t[[#This Row],[Plastic Bucket]],0)</f>
        <v>0</v>
      </c>
      <c r="AN73" s="709">
        <f>IF(NFI_Expiration=1,IF($A73&lt;VLOOKUP(T$5,NFI,5,0),1,0)*Data_NFI_t[[#This Row],[Jerry Can]],0)</f>
        <v>0</v>
      </c>
      <c r="AO73" s="709">
        <f>IF(NFI_Expiration=1,IF($A73&lt;VLOOKUP(U$5,NFI,5,0),1,0)*Data_NFI_t[[#This Row],[Plastic Mat]],0)</f>
        <v>0</v>
      </c>
      <c r="AP73" s="709">
        <f>IF(NFI_Expiration=1,IF($A73&lt;VLOOKUP(V$5,NFI,5,0),1,0)*Data_NFI_t[[#This Row],[Adult Clothes]],0)</f>
        <v>0</v>
      </c>
      <c r="AQ73" s="709">
        <f>IF(NFI_Expiration=1,IF($A73&lt;VLOOKUP(W$5,NFI,5,0),1,0)*Data_NFI_t[[#This Row],[Children Clothes]],0)</f>
        <v>0</v>
      </c>
      <c r="AR73" s="709">
        <f>IF(NFI_Expiration=1,IF($A73&lt;VLOOKUP(X$5,NFI,5,0),1,0)*Data_NFI_t[[#This Row],[Sewing Kit]],0)</f>
        <v>0</v>
      </c>
      <c r="AS73" s="709">
        <f>IF(NFI_Expiration=1,IF($A73&lt;VLOOKUP(X$5,NFI,5,0),1,0)*Data_NFI_t[[#This Row],[Solar Lantern]],0)</f>
        <v>0</v>
      </c>
      <c r="AT73" s="105" t="str">
        <f ca="1">IFERROR(OFFSET(Camp_List[P_Code],MATCH(Data_NFI_t[[#This Row],[Camp Name]],Camp_List[Camp Name],0)-1,0,1,1),"")</f>
        <v>MMR012CMP115</v>
      </c>
      <c r="AU73" s="412" t="str">
        <f ca="1">IFERROR(OFFSET(Camp_List[Status],MATCH(Data_NFI_t[[#This Row],[Camp Name]],Camp_List[Camp Name],0)-1,0,1,1),"")</f>
        <v>Open</v>
      </c>
      <c r="AV73" s="105"/>
      <c r="AY73" s="747"/>
    </row>
    <row r="74" spans="1:51" s="745" customFormat="1" ht="20.25" customHeight="1" x14ac:dyDescent="0.25">
      <c r="A74" s="711">
        <f t="shared" si="3"/>
        <v>12.166666666666666</v>
      </c>
      <c r="B74" s="712">
        <f>YEAR(Data_NFI_t[[#This Row],[Distribution Date]])</f>
        <v>2017</v>
      </c>
      <c r="C74" s="904">
        <v>43069</v>
      </c>
      <c r="D74" s="708" t="s">
        <v>1119</v>
      </c>
      <c r="E74" s="708" t="s">
        <v>1119</v>
      </c>
      <c r="F74" s="708" t="s">
        <v>7</v>
      </c>
      <c r="G74" s="713" t="s">
        <v>17</v>
      </c>
      <c r="H74" s="713" t="s">
        <v>580</v>
      </c>
      <c r="I74" s="205"/>
      <c r="J74" s="886">
        <v>656</v>
      </c>
      <c r="K74" s="886">
        <v>3432</v>
      </c>
      <c r="L74" s="715">
        <v>656</v>
      </c>
      <c r="M74" s="715"/>
      <c r="N74" s="716"/>
      <c r="O74" s="716"/>
      <c r="P74" s="716"/>
      <c r="Q74" s="716"/>
      <c r="R74" s="716"/>
      <c r="S74" s="716"/>
      <c r="T74" s="717"/>
      <c r="U74" s="716"/>
      <c r="V74" s="887"/>
      <c r="W74" s="887"/>
      <c r="X74" s="716"/>
      <c r="Y74" s="716"/>
      <c r="Z74" s="716"/>
      <c r="AA74" s="716"/>
      <c r="AB74" s="716"/>
      <c r="AC74" s="716"/>
      <c r="AD74" s="709">
        <f>IF(NFI_Expiration=1,IF($A74&lt;VLOOKUP(I$5,NFI,5,0),1,0)*Data_NFI_t[[#This Row],[Hygiene Kit]],0)</f>
        <v>0</v>
      </c>
      <c r="AE74" s="709">
        <f>IF(NFI_Expiration=1,IF($A74&lt;VLOOKUP(L$5,NFI,5,0),1,0)*Data_NFI_t[[#This Row],[NFI Core Kit]],0)</f>
        <v>0</v>
      </c>
      <c r="AF74" s="710">
        <f>IF(NFI_Expiration=1,IF($A74&lt;VLOOKUP(M$5,NFI,5,0),1,0)*Data_NFI_t[[#This Row],[Sanitary Kit]],0)</f>
        <v>0</v>
      </c>
      <c r="AG74" s="1055">
        <f>IF(NFI_Expiration=1,IF($A74&lt;VLOOKUP(AC$5,NFI,5,0),1,0)*Data_NFI_t[[#This Row],[Rope]],0)</f>
        <v>0</v>
      </c>
      <c r="AH74" s="710">
        <f>IF(NFI_Expiration=1,IF($A74&lt;VLOOKUP(N$5,NFI,5,0),1,0)*Data_NFI_t[[#This Row],[Mosquito net]],0)</f>
        <v>0</v>
      </c>
      <c r="AI74" s="710">
        <f>IF(NFI_Expiration=1,IF($A74&lt;VLOOKUP(O$5,NFI,5,0),1,0)*Data_NFI_t[[#This Row],[Tarpaulin]],0)</f>
        <v>0</v>
      </c>
      <c r="AJ74" s="710">
        <f>IF(NFI_Expiration=1,IF($A74&lt;VLOOKUP(P$5,NFI,5,0),1,0)*Data_NFI_t[[#This Row],[Blanket]],0)</f>
        <v>0</v>
      </c>
      <c r="AK74" s="710">
        <f>IF(NFI_Expiration=1,IF($A74&lt;VLOOKUP(Q$5,NFI,5,0),1,0)*Data_NFI_t[[#This Row],[Kitchen Set]],0)</f>
        <v>0</v>
      </c>
      <c r="AL74" s="710">
        <f>IF(NFI_Expiration=1,IF($A74&lt;VLOOKUP(R$5,NFI,5,0),1,0)*Data_NFI_t[[#This Row],[Complementary Kit]],0)</f>
        <v>0</v>
      </c>
      <c r="AM74" s="710">
        <f>IF(NFI_Expiration=1,IF($A74&lt;VLOOKUP(S$5,NFI,5,0),1,0)*Data_NFI_t[[#This Row],[Plastic Bucket]],0)</f>
        <v>0</v>
      </c>
      <c r="AN74" s="709">
        <f>IF(NFI_Expiration=1,IF($A74&lt;VLOOKUP(T$5,NFI,5,0),1,0)*Data_NFI_t[[#This Row],[Jerry Can]],0)</f>
        <v>0</v>
      </c>
      <c r="AO74" s="709">
        <f>IF(NFI_Expiration=1,IF($A74&lt;VLOOKUP(U$5,NFI,5,0),1,0)*Data_NFI_t[[#This Row],[Plastic Mat]],0)</f>
        <v>0</v>
      </c>
      <c r="AP74" s="709">
        <f>IF(NFI_Expiration=1,IF($A74&lt;VLOOKUP(V$5,NFI,5,0),1,0)*Data_NFI_t[[#This Row],[Adult Clothes]],0)</f>
        <v>0</v>
      </c>
      <c r="AQ74" s="709">
        <f>IF(NFI_Expiration=1,IF($A74&lt;VLOOKUP(W$5,NFI,5,0),1,0)*Data_NFI_t[[#This Row],[Children Clothes]],0)</f>
        <v>0</v>
      </c>
      <c r="AR74" s="709">
        <f>IF(NFI_Expiration=1,IF($A74&lt;VLOOKUP(X$5,NFI,5,0),1,0)*Data_NFI_t[[#This Row],[Sewing Kit]],0)</f>
        <v>0</v>
      </c>
      <c r="AS74" s="709">
        <f>IF(NFI_Expiration=1,IF($A74&lt;VLOOKUP(X$5,NFI,5,0),1,0)*Data_NFI_t[[#This Row],[Solar Lantern]],0)</f>
        <v>0</v>
      </c>
      <c r="AT74" s="754" t="str">
        <f ca="1">IFERROR(OFFSET(Camp_List[P_Code],MATCH(Data_NFI_t[[#This Row],[Camp Name]],Camp_List[Camp Name],0)-1,0,1,1),"")</f>
        <v>MMR012CMP092</v>
      </c>
      <c r="AU74" s="755" t="str">
        <f ca="1">IFERROR(OFFSET(Camp_List[Status],MATCH(Data_NFI_t[[#This Row],[Camp Name]],Camp_List[Camp Name],0)-1,0,1,1),"")</f>
        <v>Open</v>
      </c>
      <c r="AV74" s="754"/>
      <c r="AY74" s="747"/>
    </row>
    <row r="75" spans="1:51" s="745" customFormat="1" ht="18.75" customHeight="1" x14ac:dyDescent="0.25">
      <c r="A75" s="711">
        <f t="shared" si="3"/>
        <v>12.233333333333333</v>
      </c>
      <c r="B75" s="712">
        <f>YEAR(Data_NFI_t[[#This Row],[Distribution Date]])</f>
        <v>2017</v>
      </c>
      <c r="C75" s="904">
        <v>43067</v>
      </c>
      <c r="D75" s="708" t="s">
        <v>272</v>
      </c>
      <c r="E75" s="708" t="s">
        <v>1016</v>
      </c>
      <c r="F75" s="708" t="s">
        <v>7</v>
      </c>
      <c r="G75" s="713" t="s">
        <v>13</v>
      </c>
      <c r="H75" s="713" t="s">
        <v>981</v>
      </c>
      <c r="I75" s="205"/>
      <c r="J75" s="886">
        <v>928</v>
      </c>
      <c r="K75" s="886">
        <v>3962</v>
      </c>
      <c r="L75" s="715"/>
      <c r="M75" s="715">
        <v>928</v>
      </c>
      <c r="N75" s="716"/>
      <c r="O75" s="716"/>
      <c r="P75" s="716"/>
      <c r="Q75" s="716"/>
      <c r="R75" s="716"/>
      <c r="S75" s="716"/>
      <c r="T75" s="717"/>
      <c r="U75" s="716"/>
      <c r="V75" s="887"/>
      <c r="W75" s="887"/>
      <c r="X75" s="716"/>
      <c r="Y75" s="716"/>
      <c r="Z75" s="716"/>
      <c r="AA75" s="716"/>
      <c r="AB75" s="716"/>
      <c r="AC75" s="716"/>
      <c r="AD75" s="709">
        <f>IF(NFI_Expiration=1,IF($A75&lt;VLOOKUP(I$5,NFI,5,0),1,0)*Data_NFI_t[[#This Row],[Hygiene Kit]],0)</f>
        <v>0</v>
      </c>
      <c r="AE75" s="709">
        <f>IF(NFI_Expiration=1,IF($A75&lt;VLOOKUP(L$5,NFI,5,0),1,0)*Data_NFI_t[[#This Row],[NFI Core Kit]],0)</f>
        <v>0</v>
      </c>
      <c r="AF75" s="710">
        <f>IF(NFI_Expiration=1,IF($A75&lt;VLOOKUP(M$5,NFI,5,0),1,0)*Data_NFI_t[[#This Row],[Sanitary Kit]],0)</f>
        <v>0</v>
      </c>
      <c r="AG75" s="1055">
        <f>IF(NFI_Expiration=1,IF($A75&lt;VLOOKUP(AC$5,NFI,5,0),1,0)*Data_NFI_t[[#This Row],[Rope]],0)</f>
        <v>0</v>
      </c>
      <c r="AH75" s="710">
        <f>IF(NFI_Expiration=1,IF($A75&lt;VLOOKUP(N$5,NFI,5,0),1,0)*Data_NFI_t[[#This Row],[Mosquito net]],0)</f>
        <v>0</v>
      </c>
      <c r="AI75" s="710">
        <f>IF(NFI_Expiration=1,IF($A75&lt;VLOOKUP(O$5,NFI,5,0),1,0)*Data_NFI_t[[#This Row],[Tarpaulin]],0)</f>
        <v>0</v>
      </c>
      <c r="AJ75" s="710">
        <f>IF(NFI_Expiration=1,IF($A75&lt;VLOOKUP(P$5,NFI,5,0),1,0)*Data_NFI_t[[#This Row],[Blanket]],0)</f>
        <v>0</v>
      </c>
      <c r="AK75" s="710">
        <f>IF(NFI_Expiration=1,IF($A75&lt;VLOOKUP(Q$5,NFI,5,0),1,0)*Data_NFI_t[[#This Row],[Kitchen Set]],0)</f>
        <v>0</v>
      </c>
      <c r="AL75" s="710">
        <f>IF(NFI_Expiration=1,IF($A75&lt;VLOOKUP(R$5,NFI,5,0),1,0)*Data_NFI_t[[#This Row],[Complementary Kit]],0)</f>
        <v>0</v>
      </c>
      <c r="AM75" s="710">
        <f>IF(NFI_Expiration=1,IF($A75&lt;VLOOKUP(S$5,NFI,5,0),1,0)*Data_NFI_t[[#This Row],[Plastic Bucket]],0)</f>
        <v>0</v>
      </c>
      <c r="AN75" s="709">
        <f>IF(NFI_Expiration=1,IF($A75&lt;VLOOKUP(T$5,NFI,5,0),1,0)*Data_NFI_t[[#This Row],[Jerry Can]],0)</f>
        <v>0</v>
      </c>
      <c r="AO75" s="709">
        <f>IF(NFI_Expiration=1,IF($A75&lt;VLOOKUP(U$5,NFI,5,0),1,0)*Data_NFI_t[[#This Row],[Plastic Mat]],0)</f>
        <v>0</v>
      </c>
      <c r="AP75" s="709">
        <f>IF(NFI_Expiration=1,IF($A75&lt;VLOOKUP(V$5,NFI,5,0),1,0)*Data_NFI_t[[#This Row],[Adult Clothes]],0)</f>
        <v>0</v>
      </c>
      <c r="AQ75" s="709">
        <f>IF(NFI_Expiration=1,IF($A75&lt;VLOOKUP(W$5,NFI,5,0),1,0)*Data_NFI_t[[#This Row],[Children Clothes]],0)</f>
        <v>0</v>
      </c>
      <c r="AR75" s="709">
        <f>IF(NFI_Expiration=1,IF($A75&lt;VLOOKUP(X$5,NFI,5,0),1,0)*Data_NFI_t[[#This Row],[Sewing Kit]],0)</f>
        <v>0</v>
      </c>
      <c r="AS75" s="709">
        <f>IF(NFI_Expiration=1,IF($A75&lt;VLOOKUP(X$5,NFI,5,0),1,0)*Data_NFI_t[[#This Row],[Solar Lantern]],0)</f>
        <v>0</v>
      </c>
      <c r="AT75" s="105" t="str">
        <f ca="1">IFERROR(OFFSET(Camp_List[P_Code],MATCH(Data_NFI_t[[#This Row],[Camp Name]],Camp_List[Camp Name],0)-1,0,1,1),"")</f>
        <v>MMR012CMP017</v>
      </c>
      <c r="AU75" s="412" t="str">
        <f ca="1">IFERROR(OFFSET(Camp_List[Status],MATCH(Data_NFI_t[[#This Row],[Camp Name]],Camp_List[Camp Name],0)-1,0,1,1),"")</f>
        <v>Open</v>
      </c>
      <c r="AV75" s="105"/>
      <c r="AY75" s="747"/>
    </row>
    <row r="76" spans="1:51" s="745" customFormat="1" ht="18.75" customHeight="1" x14ac:dyDescent="0.25">
      <c r="A76" s="711">
        <f t="shared" si="3"/>
        <v>12.266666666666667</v>
      </c>
      <c r="B76" s="712">
        <f>YEAR(Data_NFI_t[[#This Row],[Distribution Date]])</f>
        <v>2017</v>
      </c>
      <c r="C76" s="904">
        <v>43066</v>
      </c>
      <c r="D76" s="708" t="s">
        <v>1016</v>
      </c>
      <c r="E76" s="708" t="s">
        <v>1016</v>
      </c>
      <c r="F76" s="708" t="s">
        <v>7</v>
      </c>
      <c r="G76" s="713" t="s">
        <v>17</v>
      </c>
      <c r="H76" s="713" t="s">
        <v>66</v>
      </c>
      <c r="I76" s="205"/>
      <c r="J76" s="886">
        <v>1138</v>
      </c>
      <c r="K76" s="886">
        <v>13460</v>
      </c>
      <c r="L76" s="715"/>
      <c r="M76" s="715">
        <v>1138</v>
      </c>
      <c r="N76" s="716"/>
      <c r="O76" s="716"/>
      <c r="P76" s="716"/>
      <c r="Q76" s="716"/>
      <c r="R76" s="716"/>
      <c r="S76" s="716"/>
      <c r="T76" s="717"/>
      <c r="U76" s="716"/>
      <c r="V76" s="887"/>
      <c r="W76" s="887"/>
      <c r="X76" s="716"/>
      <c r="Y76" s="716"/>
      <c r="Z76" s="716"/>
      <c r="AA76" s="716"/>
      <c r="AB76" s="716"/>
      <c r="AC76" s="716"/>
      <c r="AD76" s="709">
        <f>IF(NFI_Expiration=1,IF($A76&lt;VLOOKUP(I$5,NFI,5,0),1,0)*Data_NFI_t[[#This Row],[Hygiene Kit]],0)</f>
        <v>0</v>
      </c>
      <c r="AE76" s="709">
        <f>IF(NFI_Expiration=1,IF($A76&lt;VLOOKUP(L$5,NFI,5,0),1,0)*Data_NFI_t[[#This Row],[NFI Core Kit]],0)</f>
        <v>0</v>
      </c>
      <c r="AF76" s="710">
        <f>IF(NFI_Expiration=1,IF($A76&lt;VLOOKUP(M$5,NFI,5,0),1,0)*Data_NFI_t[[#This Row],[Sanitary Kit]],0)</f>
        <v>0</v>
      </c>
      <c r="AG76" s="1055">
        <f>IF(NFI_Expiration=1,IF($A76&lt;VLOOKUP(AC$5,NFI,5,0),1,0)*Data_NFI_t[[#This Row],[Rope]],0)</f>
        <v>0</v>
      </c>
      <c r="AH76" s="710">
        <f>IF(NFI_Expiration=1,IF($A76&lt;VLOOKUP(N$5,NFI,5,0),1,0)*Data_NFI_t[[#This Row],[Mosquito net]],0)</f>
        <v>0</v>
      </c>
      <c r="AI76" s="710">
        <f>IF(NFI_Expiration=1,IF($A76&lt;VLOOKUP(O$5,NFI,5,0),1,0)*Data_NFI_t[[#This Row],[Tarpaulin]],0)</f>
        <v>0</v>
      </c>
      <c r="AJ76" s="710">
        <f>IF(NFI_Expiration=1,IF($A76&lt;VLOOKUP(P$5,NFI,5,0),1,0)*Data_NFI_t[[#This Row],[Blanket]],0)</f>
        <v>0</v>
      </c>
      <c r="AK76" s="710">
        <f>IF(NFI_Expiration=1,IF($A76&lt;VLOOKUP(Q$5,NFI,5,0),1,0)*Data_NFI_t[[#This Row],[Kitchen Set]],0)</f>
        <v>0</v>
      </c>
      <c r="AL76" s="710">
        <f>IF(NFI_Expiration=1,IF($A76&lt;VLOOKUP(R$5,NFI,5,0),1,0)*Data_NFI_t[[#This Row],[Complementary Kit]],0)</f>
        <v>0</v>
      </c>
      <c r="AM76" s="710">
        <f>IF(NFI_Expiration=1,IF($A76&lt;VLOOKUP(S$5,NFI,5,0),1,0)*Data_NFI_t[[#This Row],[Plastic Bucket]],0)</f>
        <v>0</v>
      </c>
      <c r="AN76" s="709">
        <f>IF(NFI_Expiration=1,IF($A76&lt;VLOOKUP(T$5,NFI,5,0),1,0)*Data_NFI_t[[#This Row],[Jerry Can]],0)</f>
        <v>0</v>
      </c>
      <c r="AO76" s="709">
        <f>IF(NFI_Expiration=1,IF($A76&lt;VLOOKUP(U$5,NFI,5,0),1,0)*Data_NFI_t[[#This Row],[Plastic Mat]],0)</f>
        <v>0</v>
      </c>
      <c r="AP76" s="709">
        <f>IF(NFI_Expiration=1,IF($A76&lt;VLOOKUP(V$5,NFI,5,0),1,0)*Data_NFI_t[[#This Row],[Adult Clothes]],0)</f>
        <v>0</v>
      </c>
      <c r="AQ76" s="709">
        <f>IF(NFI_Expiration=1,IF($A76&lt;VLOOKUP(W$5,NFI,5,0),1,0)*Data_NFI_t[[#This Row],[Children Clothes]],0)</f>
        <v>0</v>
      </c>
      <c r="AR76" s="709">
        <f>IF(NFI_Expiration=1,IF($A76&lt;VLOOKUP(X$5,NFI,5,0),1,0)*Data_NFI_t[[#This Row],[Sewing Kit]],0)</f>
        <v>0</v>
      </c>
      <c r="AS76" s="709">
        <f>IF(NFI_Expiration=1,IF($A76&lt;VLOOKUP(X$5,NFI,5,0),1,0)*Data_NFI_t[[#This Row],[Solar Lantern]],0)</f>
        <v>0</v>
      </c>
      <c r="AT76" s="105" t="str">
        <f ca="1">IFERROR(OFFSET(Camp_List[P_Code],MATCH(Data_NFI_t[[#This Row],[Camp Name]],Camp_List[Camp Name],0)-1,0,1,1),"")</f>
        <v>MMR012CMP046</v>
      </c>
      <c r="AU76" s="412" t="str">
        <f ca="1">IFERROR(OFFSET(Camp_List[Status],MATCH(Data_NFI_t[[#This Row],[Camp Name]],Camp_List[Camp Name],0)-1,0,1,1),"")</f>
        <v>Open</v>
      </c>
      <c r="AV76" s="105"/>
      <c r="AY76" s="747"/>
    </row>
    <row r="77" spans="1:51" s="745" customFormat="1" ht="18.75" customHeight="1" x14ac:dyDescent="0.25">
      <c r="A77" s="711">
        <f t="shared" si="3"/>
        <v>12.3</v>
      </c>
      <c r="B77" s="712">
        <f>YEAR(Data_NFI_t[[#This Row],[Distribution Date]])</f>
        <v>2017</v>
      </c>
      <c r="C77" s="904">
        <v>43065</v>
      </c>
      <c r="D77" s="708" t="s">
        <v>1119</v>
      </c>
      <c r="E77" s="708" t="s">
        <v>1119</v>
      </c>
      <c r="F77" s="708" t="s">
        <v>7</v>
      </c>
      <c r="G77" s="713" t="s">
        <v>17</v>
      </c>
      <c r="H77" s="713" t="s">
        <v>65</v>
      </c>
      <c r="I77" s="205"/>
      <c r="J77" s="886">
        <v>2280</v>
      </c>
      <c r="K77" s="886">
        <f>Data_NFI_t[[#This Row],[Household Coverage]]*5.5</f>
        <v>12540</v>
      </c>
      <c r="L77" s="715">
        <v>2280</v>
      </c>
      <c r="M77" s="715"/>
      <c r="N77" s="716"/>
      <c r="O77" s="716"/>
      <c r="P77" s="716"/>
      <c r="Q77" s="716"/>
      <c r="R77" s="716"/>
      <c r="S77" s="716"/>
      <c r="T77" s="717"/>
      <c r="U77" s="716"/>
      <c r="V77" s="887"/>
      <c r="W77" s="887"/>
      <c r="X77" s="716"/>
      <c r="Y77" s="716"/>
      <c r="Z77" s="716"/>
      <c r="AA77" s="716"/>
      <c r="AB77" s="716"/>
      <c r="AC77" s="716"/>
      <c r="AD77" s="709">
        <f>IF(NFI_Expiration=1,IF($A77&lt;VLOOKUP(I$5,NFI,5,0),1,0)*Data_NFI_t[[#This Row],[Hygiene Kit]],0)</f>
        <v>0</v>
      </c>
      <c r="AE77" s="709">
        <f>IF(NFI_Expiration=1,IF($A77&lt;VLOOKUP(L$5,NFI,5,0),1,0)*Data_NFI_t[[#This Row],[NFI Core Kit]],0)</f>
        <v>0</v>
      </c>
      <c r="AF77" s="710">
        <f>IF(NFI_Expiration=1,IF($A77&lt;VLOOKUP(M$5,NFI,5,0),1,0)*Data_NFI_t[[#This Row],[Sanitary Kit]],0)</f>
        <v>0</v>
      </c>
      <c r="AG77" s="1055">
        <f>IF(NFI_Expiration=1,IF($A77&lt;VLOOKUP(AC$5,NFI,5,0),1,0)*Data_NFI_t[[#This Row],[Rope]],0)</f>
        <v>0</v>
      </c>
      <c r="AH77" s="710">
        <f>IF(NFI_Expiration=1,IF($A77&lt;VLOOKUP(N$5,NFI,5,0),1,0)*Data_NFI_t[[#This Row],[Mosquito net]],0)</f>
        <v>0</v>
      </c>
      <c r="AI77" s="710">
        <f>IF(NFI_Expiration=1,IF($A77&lt;VLOOKUP(O$5,NFI,5,0),1,0)*Data_NFI_t[[#This Row],[Tarpaulin]],0)</f>
        <v>0</v>
      </c>
      <c r="AJ77" s="710">
        <f>IF(NFI_Expiration=1,IF($A77&lt;VLOOKUP(P$5,NFI,5,0),1,0)*Data_NFI_t[[#This Row],[Blanket]],0)</f>
        <v>0</v>
      </c>
      <c r="AK77" s="710">
        <f>IF(NFI_Expiration=1,IF($A77&lt;VLOOKUP(Q$5,NFI,5,0),1,0)*Data_NFI_t[[#This Row],[Kitchen Set]],0)</f>
        <v>0</v>
      </c>
      <c r="AL77" s="710">
        <f>IF(NFI_Expiration=1,IF($A77&lt;VLOOKUP(R$5,NFI,5,0),1,0)*Data_NFI_t[[#This Row],[Complementary Kit]],0)</f>
        <v>0</v>
      </c>
      <c r="AM77" s="710">
        <f>IF(NFI_Expiration=1,IF($A77&lt;VLOOKUP(S$5,NFI,5,0),1,0)*Data_NFI_t[[#This Row],[Plastic Bucket]],0)</f>
        <v>0</v>
      </c>
      <c r="AN77" s="709">
        <f>IF(NFI_Expiration=1,IF($A77&lt;VLOOKUP(T$5,NFI,5,0),1,0)*Data_NFI_t[[#This Row],[Jerry Can]],0)</f>
        <v>0</v>
      </c>
      <c r="AO77" s="709">
        <f>IF(NFI_Expiration=1,IF($A77&lt;VLOOKUP(U$5,NFI,5,0),1,0)*Data_NFI_t[[#This Row],[Plastic Mat]],0)</f>
        <v>0</v>
      </c>
      <c r="AP77" s="709">
        <f>IF(NFI_Expiration=1,IF($A77&lt;VLOOKUP(V$5,NFI,5,0),1,0)*Data_NFI_t[[#This Row],[Adult Clothes]],0)</f>
        <v>0</v>
      </c>
      <c r="AQ77" s="709">
        <f>IF(NFI_Expiration=1,IF($A77&lt;VLOOKUP(W$5,NFI,5,0),1,0)*Data_NFI_t[[#This Row],[Children Clothes]],0)</f>
        <v>0</v>
      </c>
      <c r="AR77" s="709">
        <f>IF(NFI_Expiration=1,IF($A77&lt;VLOOKUP(X$5,NFI,5,0),1,0)*Data_NFI_t[[#This Row],[Sewing Kit]],0)</f>
        <v>0</v>
      </c>
      <c r="AS77" s="709">
        <f>IF(NFI_Expiration=1,IF($A77&lt;VLOOKUP(X$5,NFI,5,0),1,0)*Data_NFI_t[[#This Row],[Solar Lantern]],0)</f>
        <v>0</v>
      </c>
      <c r="AT77" s="105" t="str">
        <f ca="1">IFERROR(OFFSET(Camp_List[P_Code],MATCH(Data_NFI_t[[#This Row],[Camp Name]],Camp_List[Camp Name],0)-1,0,1,1),"")</f>
        <v>MMR012CMP045</v>
      </c>
      <c r="AU77" s="412" t="str">
        <f ca="1">IFERROR(OFFSET(Camp_List[Status],MATCH(Data_NFI_t[[#This Row],[Camp Name]],Camp_List[Camp Name],0)-1,0,1,1),"")</f>
        <v>Open</v>
      </c>
      <c r="AV77" s="105"/>
      <c r="AY77" s="747"/>
    </row>
    <row r="78" spans="1:51" s="745" customFormat="1" ht="18.75" customHeight="1" x14ac:dyDescent="0.25">
      <c r="A78" s="711">
        <f t="shared" si="3"/>
        <v>12.4</v>
      </c>
      <c r="B78" s="712">
        <f>YEAR(Data_NFI_t[[#This Row],[Distribution Date]])</f>
        <v>2017</v>
      </c>
      <c r="C78" s="904">
        <v>43062</v>
      </c>
      <c r="D78" s="708" t="s">
        <v>1118</v>
      </c>
      <c r="E78" s="708" t="s">
        <v>1118</v>
      </c>
      <c r="F78" s="708" t="s">
        <v>7</v>
      </c>
      <c r="G78" s="713" t="s">
        <v>17</v>
      </c>
      <c r="H78" s="713" t="s">
        <v>62</v>
      </c>
      <c r="I78" s="205"/>
      <c r="J78" s="886">
        <v>799</v>
      </c>
      <c r="K78" s="886">
        <v>4471</v>
      </c>
      <c r="L78" s="715"/>
      <c r="M78" s="715">
        <v>799</v>
      </c>
      <c r="N78" s="716"/>
      <c r="O78" s="716"/>
      <c r="P78" s="716"/>
      <c r="Q78" s="716"/>
      <c r="R78" s="716"/>
      <c r="S78" s="716"/>
      <c r="T78" s="717"/>
      <c r="U78" s="716"/>
      <c r="V78" s="887"/>
      <c r="W78" s="887"/>
      <c r="X78" s="716"/>
      <c r="Y78" s="716"/>
      <c r="Z78" s="716"/>
      <c r="AA78" s="716"/>
      <c r="AB78" s="716"/>
      <c r="AC78" s="716"/>
      <c r="AD78" s="709">
        <f>IF(NFI_Expiration=1,IF($A78&lt;VLOOKUP(I$5,NFI,5,0),1,0)*Data_NFI_t[[#This Row],[Hygiene Kit]],0)</f>
        <v>0</v>
      </c>
      <c r="AE78" s="709">
        <f>IF(NFI_Expiration=1,IF($A78&lt;VLOOKUP(L$5,NFI,5,0),1,0)*Data_NFI_t[[#This Row],[NFI Core Kit]],0)</f>
        <v>0</v>
      </c>
      <c r="AF78" s="710">
        <f>IF(NFI_Expiration=1,IF($A78&lt;VLOOKUP(M$5,NFI,5,0),1,0)*Data_NFI_t[[#This Row],[Sanitary Kit]],0)</f>
        <v>0</v>
      </c>
      <c r="AG78" s="1055">
        <f>IF(NFI_Expiration=1,IF($A78&lt;VLOOKUP(AC$5,NFI,5,0),1,0)*Data_NFI_t[[#This Row],[Rope]],0)</f>
        <v>0</v>
      </c>
      <c r="AH78" s="710">
        <f>IF(NFI_Expiration=1,IF($A78&lt;VLOOKUP(N$5,NFI,5,0),1,0)*Data_NFI_t[[#This Row],[Mosquito net]],0)</f>
        <v>0</v>
      </c>
      <c r="AI78" s="710">
        <f>IF(NFI_Expiration=1,IF($A78&lt;VLOOKUP(O$5,NFI,5,0),1,0)*Data_NFI_t[[#This Row],[Tarpaulin]],0)</f>
        <v>0</v>
      </c>
      <c r="AJ78" s="710">
        <f>IF(NFI_Expiration=1,IF($A78&lt;VLOOKUP(P$5,NFI,5,0),1,0)*Data_NFI_t[[#This Row],[Blanket]],0)</f>
        <v>0</v>
      </c>
      <c r="AK78" s="710">
        <f>IF(NFI_Expiration=1,IF($A78&lt;VLOOKUP(Q$5,NFI,5,0),1,0)*Data_NFI_t[[#This Row],[Kitchen Set]],0)</f>
        <v>0</v>
      </c>
      <c r="AL78" s="710">
        <f>IF(NFI_Expiration=1,IF($A78&lt;VLOOKUP(R$5,NFI,5,0),1,0)*Data_NFI_t[[#This Row],[Complementary Kit]],0)</f>
        <v>0</v>
      </c>
      <c r="AM78" s="710">
        <f>IF(NFI_Expiration=1,IF($A78&lt;VLOOKUP(S$5,NFI,5,0),1,0)*Data_NFI_t[[#This Row],[Plastic Bucket]],0)</f>
        <v>0</v>
      </c>
      <c r="AN78" s="709">
        <f>IF(NFI_Expiration=1,IF($A78&lt;VLOOKUP(T$5,NFI,5,0),1,0)*Data_NFI_t[[#This Row],[Jerry Can]],0)</f>
        <v>0</v>
      </c>
      <c r="AO78" s="709">
        <f>IF(NFI_Expiration=1,IF($A78&lt;VLOOKUP(U$5,NFI,5,0),1,0)*Data_NFI_t[[#This Row],[Plastic Mat]],0)</f>
        <v>0</v>
      </c>
      <c r="AP78" s="709">
        <f>IF(NFI_Expiration=1,IF($A78&lt;VLOOKUP(V$5,NFI,5,0),1,0)*Data_NFI_t[[#This Row],[Adult Clothes]],0)</f>
        <v>0</v>
      </c>
      <c r="AQ78" s="709">
        <f>IF(NFI_Expiration=1,IF($A78&lt;VLOOKUP(W$5,NFI,5,0),1,0)*Data_NFI_t[[#This Row],[Children Clothes]],0)</f>
        <v>0</v>
      </c>
      <c r="AR78" s="709">
        <f>IF(NFI_Expiration=1,IF($A78&lt;VLOOKUP(X$5,NFI,5,0),1,0)*Data_NFI_t[[#This Row],[Sewing Kit]],0)</f>
        <v>0</v>
      </c>
      <c r="AS78" s="709">
        <f>IF(NFI_Expiration=1,IF($A78&lt;VLOOKUP(X$5,NFI,5,0),1,0)*Data_NFI_t[[#This Row],[Solar Lantern]],0)</f>
        <v>0</v>
      </c>
      <c r="AT78" s="105" t="str">
        <f ca="1">IFERROR(OFFSET(Camp_List[P_Code],MATCH(Data_NFI_t[[#This Row],[Camp Name]],Camp_List[Camp Name],0)-1,0,1,1),"")</f>
        <v/>
      </c>
      <c r="AU78" s="412" t="str">
        <f ca="1">IFERROR(OFFSET(Camp_List[Status],MATCH(Data_NFI_t[[#This Row],[Camp Name]],Camp_List[Camp Name],0)-1,0,1,1),"")</f>
        <v/>
      </c>
      <c r="AV78" s="105"/>
      <c r="AY78" s="747"/>
    </row>
    <row r="79" spans="1:51" s="745" customFormat="1" ht="18.75" customHeight="1" x14ac:dyDescent="0.25">
      <c r="A79" s="711">
        <f t="shared" si="3"/>
        <v>12.8</v>
      </c>
      <c r="B79" s="712">
        <f>YEAR(Data_NFI_t[[#This Row],[Distribution Date]])</f>
        <v>2017</v>
      </c>
      <c r="C79" s="904">
        <v>43050</v>
      </c>
      <c r="D79" s="708" t="s">
        <v>1035</v>
      </c>
      <c r="E79" s="708" t="s">
        <v>1035</v>
      </c>
      <c r="F79" s="708" t="s">
        <v>7</v>
      </c>
      <c r="G79" s="713" t="s">
        <v>17</v>
      </c>
      <c r="H79" s="713" t="s">
        <v>59</v>
      </c>
      <c r="I79" s="205"/>
      <c r="J79" s="886">
        <v>397</v>
      </c>
      <c r="K79" s="886">
        <v>2269</v>
      </c>
      <c r="L79" s="715"/>
      <c r="M79" s="715">
        <v>397</v>
      </c>
      <c r="N79" s="716"/>
      <c r="O79" s="716"/>
      <c r="P79" s="716"/>
      <c r="Q79" s="716"/>
      <c r="R79" s="716"/>
      <c r="S79" s="716"/>
      <c r="T79" s="717"/>
      <c r="U79" s="716"/>
      <c r="V79" s="887"/>
      <c r="W79" s="887"/>
      <c r="X79" s="716"/>
      <c r="Y79" s="716"/>
      <c r="Z79" s="716"/>
      <c r="AA79" s="716"/>
      <c r="AB79" s="716"/>
      <c r="AC79" s="716"/>
      <c r="AD79" s="709">
        <f>IF(NFI_Expiration=1,IF($A79&lt;VLOOKUP(I$5,NFI,5,0),1,0)*Data_NFI_t[[#This Row],[Hygiene Kit]],0)</f>
        <v>0</v>
      </c>
      <c r="AE79" s="709">
        <f>IF(NFI_Expiration=1,IF($A79&lt;VLOOKUP(L$5,NFI,5,0),1,0)*Data_NFI_t[[#This Row],[NFI Core Kit]],0)</f>
        <v>0</v>
      </c>
      <c r="AF79" s="710">
        <f>IF(NFI_Expiration=1,IF($A79&lt;VLOOKUP(M$5,NFI,5,0),1,0)*Data_NFI_t[[#This Row],[Sanitary Kit]],0)</f>
        <v>0</v>
      </c>
      <c r="AG79" s="1055">
        <f>IF(NFI_Expiration=1,IF($A79&lt;VLOOKUP(AC$5,NFI,5,0),1,0)*Data_NFI_t[[#This Row],[Rope]],0)</f>
        <v>0</v>
      </c>
      <c r="AH79" s="710">
        <f>IF(NFI_Expiration=1,IF($A79&lt;VLOOKUP(N$5,NFI,5,0),1,0)*Data_NFI_t[[#This Row],[Mosquito net]],0)</f>
        <v>0</v>
      </c>
      <c r="AI79" s="710">
        <f>IF(NFI_Expiration=1,IF($A79&lt;VLOOKUP(O$5,NFI,5,0),1,0)*Data_NFI_t[[#This Row],[Tarpaulin]],0)</f>
        <v>0</v>
      </c>
      <c r="AJ79" s="710">
        <f>IF(NFI_Expiration=1,IF($A79&lt;VLOOKUP(P$5,NFI,5,0),1,0)*Data_NFI_t[[#This Row],[Blanket]],0)</f>
        <v>0</v>
      </c>
      <c r="AK79" s="710">
        <f>IF(NFI_Expiration=1,IF($A79&lt;VLOOKUP(Q$5,NFI,5,0),1,0)*Data_NFI_t[[#This Row],[Kitchen Set]],0)</f>
        <v>0</v>
      </c>
      <c r="AL79" s="710">
        <f>IF(NFI_Expiration=1,IF($A79&lt;VLOOKUP(R$5,NFI,5,0),1,0)*Data_NFI_t[[#This Row],[Complementary Kit]],0)</f>
        <v>0</v>
      </c>
      <c r="AM79" s="710">
        <f>IF(NFI_Expiration=1,IF($A79&lt;VLOOKUP(S$5,NFI,5,0),1,0)*Data_NFI_t[[#This Row],[Plastic Bucket]],0)</f>
        <v>0</v>
      </c>
      <c r="AN79" s="709">
        <f>IF(NFI_Expiration=1,IF($A79&lt;VLOOKUP(T$5,NFI,5,0),1,0)*Data_NFI_t[[#This Row],[Jerry Can]],0)</f>
        <v>0</v>
      </c>
      <c r="AO79" s="709">
        <f>IF(NFI_Expiration=1,IF($A79&lt;VLOOKUP(U$5,NFI,5,0),1,0)*Data_NFI_t[[#This Row],[Plastic Mat]],0)</f>
        <v>0</v>
      </c>
      <c r="AP79" s="709">
        <f>IF(NFI_Expiration=1,IF($A79&lt;VLOOKUP(V$5,NFI,5,0),1,0)*Data_NFI_t[[#This Row],[Adult Clothes]],0)</f>
        <v>0</v>
      </c>
      <c r="AQ79" s="709">
        <f>IF(NFI_Expiration=1,IF($A79&lt;VLOOKUP(W$5,NFI,5,0),1,0)*Data_NFI_t[[#This Row],[Children Clothes]],0)</f>
        <v>0</v>
      </c>
      <c r="AR79" s="709">
        <f>IF(NFI_Expiration=1,IF($A79&lt;VLOOKUP(X$5,NFI,5,0),1,0)*Data_NFI_t[[#This Row],[Sewing Kit]],0)</f>
        <v>0</v>
      </c>
      <c r="AS79" s="709">
        <f>IF(NFI_Expiration=1,IF($A79&lt;VLOOKUP(X$5,NFI,5,0),1,0)*Data_NFI_t[[#This Row],[Solar Lantern]],0)</f>
        <v>0</v>
      </c>
      <c r="AT79" s="105" t="str">
        <f ca="1">IFERROR(OFFSET(Camp_List[P_Code],MATCH(Data_NFI_t[[#This Row],[Camp Name]],Camp_List[Camp Name],0)-1,0,1,1),"")</f>
        <v>MMR012CMP039</v>
      </c>
      <c r="AU79" s="412" t="str">
        <f ca="1">IFERROR(OFFSET(Camp_List[Status],MATCH(Data_NFI_t[[#This Row],[Camp Name]],Camp_List[Camp Name],0)-1,0,1,1),"")</f>
        <v>Open</v>
      </c>
      <c r="AV79" s="105"/>
      <c r="AY79" s="747"/>
    </row>
    <row r="80" spans="1:51" s="745" customFormat="1" ht="18.75" customHeight="1" x14ac:dyDescent="0.25">
      <c r="A80" s="711">
        <f t="shared" si="3"/>
        <v>12.9</v>
      </c>
      <c r="B80" s="712">
        <f>YEAR(Data_NFI_t[[#This Row],[Distribution Date]])</f>
        <v>2017</v>
      </c>
      <c r="C80" s="904">
        <v>43047</v>
      </c>
      <c r="D80" s="708" t="s">
        <v>273</v>
      </c>
      <c r="E80" s="708" t="s">
        <v>273</v>
      </c>
      <c r="F80" s="708" t="s">
        <v>7</v>
      </c>
      <c r="G80" s="713" t="s">
        <v>17</v>
      </c>
      <c r="H80" s="713" t="s">
        <v>587</v>
      </c>
      <c r="I80" s="205"/>
      <c r="J80" s="886">
        <v>1145</v>
      </c>
      <c r="K80" s="886">
        <v>11730</v>
      </c>
      <c r="L80" s="715"/>
      <c r="M80" s="715">
        <v>1145</v>
      </c>
      <c r="N80" s="716"/>
      <c r="O80" s="716"/>
      <c r="P80" s="716"/>
      <c r="Q80" s="716"/>
      <c r="R80" s="716"/>
      <c r="S80" s="716"/>
      <c r="T80" s="717"/>
      <c r="U80" s="716"/>
      <c r="V80" s="887"/>
      <c r="W80" s="887"/>
      <c r="X80" s="716"/>
      <c r="Y80" s="716"/>
      <c r="Z80" s="716"/>
      <c r="AA80" s="716"/>
      <c r="AB80" s="716"/>
      <c r="AC80" s="716"/>
      <c r="AD80" s="709">
        <f>IF(NFI_Expiration=1,IF($A80&lt;VLOOKUP(I$5,NFI,5,0),1,0)*Data_NFI_t[[#This Row],[Hygiene Kit]],0)</f>
        <v>0</v>
      </c>
      <c r="AE80" s="709">
        <f>IF(NFI_Expiration=1,IF($A80&lt;VLOOKUP(L$5,NFI,5,0),1,0)*Data_NFI_t[[#This Row],[NFI Core Kit]],0)</f>
        <v>0</v>
      </c>
      <c r="AF80" s="710">
        <f>IF(NFI_Expiration=1,IF($A80&lt;VLOOKUP(M$5,NFI,5,0),1,0)*Data_NFI_t[[#This Row],[Sanitary Kit]],0)</f>
        <v>0</v>
      </c>
      <c r="AG80" s="1055">
        <f>IF(NFI_Expiration=1,IF($A80&lt;VLOOKUP(AC$5,NFI,5,0),1,0)*Data_NFI_t[[#This Row],[Rope]],0)</f>
        <v>0</v>
      </c>
      <c r="AH80" s="710">
        <f>IF(NFI_Expiration=1,IF($A80&lt;VLOOKUP(N$5,NFI,5,0),1,0)*Data_NFI_t[[#This Row],[Mosquito net]],0)</f>
        <v>0</v>
      </c>
      <c r="AI80" s="710">
        <f>IF(NFI_Expiration=1,IF($A80&lt;VLOOKUP(O$5,NFI,5,0),1,0)*Data_NFI_t[[#This Row],[Tarpaulin]],0)</f>
        <v>0</v>
      </c>
      <c r="AJ80" s="710">
        <f>IF(NFI_Expiration=1,IF($A80&lt;VLOOKUP(P$5,NFI,5,0),1,0)*Data_NFI_t[[#This Row],[Blanket]],0)</f>
        <v>0</v>
      </c>
      <c r="AK80" s="710">
        <f>IF(NFI_Expiration=1,IF($A80&lt;VLOOKUP(Q$5,NFI,5,0),1,0)*Data_NFI_t[[#This Row],[Kitchen Set]],0)</f>
        <v>0</v>
      </c>
      <c r="AL80" s="710">
        <f>IF(NFI_Expiration=1,IF($A80&lt;VLOOKUP(R$5,NFI,5,0),1,0)*Data_NFI_t[[#This Row],[Complementary Kit]],0)</f>
        <v>0</v>
      </c>
      <c r="AM80" s="710">
        <f>IF(NFI_Expiration=1,IF($A80&lt;VLOOKUP(S$5,NFI,5,0),1,0)*Data_NFI_t[[#This Row],[Plastic Bucket]],0)</f>
        <v>0</v>
      </c>
      <c r="AN80" s="709">
        <f>IF(NFI_Expiration=1,IF($A80&lt;VLOOKUP(T$5,NFI,5,0),1,0)*Data_NFI_t[[#This Row],[Jerry Can]],0)</f>
        <v>0</v>
      </c>
      <c r="AO80" s="709">
        <f>IF(NFI_Expiration=1,IF($A80&lt;VLOOKUP(U$5,NFI,5,0),1,0)*Data_NFI_t[[#This Row],[Plastic Mat]],0)</f>
        <v>0</v>
      </c>
      <c r="AP80" s="709">
        <f>IF(NFI_Expiration=1,IF($A80&lt;VLOOKUP(V$5,NFI,5,0),1,0)*Data_NFI_t[[#This Row],[Adult Clothes]],0)</f>
        <v>0</v>
      </c>
      <c r="AQ80" s="709">
        <f>IF(NFI_Expiration=1,IF($A80&lt;VLOOKUP(W$5,NFI,5,0),1,0)*Data_NFI_t[[#This Row],[Children Clothes]],0)</f>
        <v>0</v>
      </c>
      <c r="AR80" s="709">
        <f>IF(NFI_Expiration=1,IF($A80&lt;VLOOKUP(X$5,NFI,5,0),1,0)*Data_NFI_t[[#This Row],[Sewing Kit]],0)</f>
        <v>0</v>
      </c>
      <c r="AS80" s="709">
        <f>IF(NFI_Expiration=1,IF($A80&lt;VLOOKUP(X$5,NFI,5,0),1,0)*Data_NFI_t[[#This Row],[Solar Lantern]],0)</f>
        <v>0</v>
      </c>
      <c r="AT80" s="754" t="str">
        <f ca="1">IFERROR(OFFSET(Camp_List[P_Code],MATCH(Data_NFI_t[[#This Row],[Camp Name]],Camp_List[Camp Name],0)-1,0,1,1),"")</f>
        <v>MMR012CMP116</v>
      </c>
      <c r="AU80" s="755" t="str">
        <f ca="1">IFERROR(OFFSET(Camp_List[Status],MATCH(Data_NFI_t[[#This Row],[Camp Name]],Camp_List[Camp Name],0)-1,0,1,1),"")</f>
        <v>Open</v>
      </c>
      <c r="AV80" s="754"/>
      <c r="AY80" s="747"/>
    </row>
    <row r="81" spans="1:51" s="745" customFormat="1" ht="21" customHeight="1" x14ac:dyDescent="0.25">
      <c r="A81" s="711">
        <f t="shared" si="3"/>
        <v>13.166666666666666</v>
      </c>
      <c r="B81" s="712">
        <f>YEAR(Data_NFI_t[[#This Row],[Distribution Date]])</f>
        <v>2017</v>
      </c>
      <c r="C81" s="904">
        <v>43039</v>
      </c>
      <c r="D81" s="708" t="s">
        <v>1035</v>
      </c>
      <c r="E81" s="708" t="s">
        <v>1035</v>
      </c>
      <c r="F81" s="708" t="s">
        <v>7</v>
      </c>
      <c r="G81" s="713" t="s">
        <v>13</v>
      </c>
      <c r="H81" s="713" t="s">
        <v>41</v>
      </c>
      <c r="I81" s="205"/>
      <c r="J81" s="886">
        <v>720</v>
      </c>
      <c r="K81" s="886">
        <v>2810</v>
      </c>
      <c r="L81" s="715"/>
      <c r="M81" s="715">
        <v>2160</v>
      </c>
      <c r="N81" s="716"/>
      <c r="O81" s="716"/>
      <c r="P81" s="716"/>
      <c r="Q81" s="716"/>
      <c r="R81" s="716"/>
      <c r="S81" s="716"/>
      <c r="T81" s="717"/>
      <c r="U81" s="716"/>
      <c r="V81" s="887"/>
      <c r="W81" s="887"/>
      <c r="X81" s="716"/>
      <c r="Y81" s="716"/>
      <c r="Z81" s="716"/>
      <c r="AA81" s="716"/>
      <c r="AB81" s="716"/>
      <c r="AC81" s="716"/>
      <c r="AD81" s="709">
        <f>IF(NFI_Expiration=1,IF($A81&lt;VLOOKUP(I$5,NFI,5,0),1,0)*Data_NFI_t[[#This Row],[Hygiene Kit]],0)</f>
        <v>0</v>
      </c>
      <c r="AE81" s="709">
        <f>IF(NFI_Expiration=1,IF($A81&lt;VLOOKUP(L$5,NFI,5,0),1,0)*Data_NFI_t[[#This Row],[NFI Core Kit]],0)</f>
        <v>0</v>
      </c>
      <c r="AF81" s="710">
        <f>IF(NFI_Expiration=1,IF($A81&lt;VLOOKUP(M$5,NFI,5,0),1,0)*Data_NFI_t[[#This Row],[Sanitary Kit]],0)</f>
        <v>0</v>
      </c>
      <c r="AG81" s="1055">
        <f>IF(NFI_Expiration=1,IF($A81&lt;VLOOKUP(AC$5,NFI,5,0),1,0)*Data_NFI_t[[#This Row],[Rope]],0)</f>
        <v>0</v>
      </c>
      <c r="AH81" s="710">
        <f>IF(NFI_Expiration=1,IF($A81&lt;VLOOKUP(N$5,NFI,5,0),1,0)*Data_NFI_t[[#This Row],[Mosquito net]],0)</f>
        <v>0</v>
      </c>
      <c r="AI81" s="710">
        <f>IF(NFI_Expiration=1,IF($A81&lt;VLOOKUP(O$5,NFI,5,0),1,0)*Data_NFI_t[[#This Row],[Tarpaulin]],0)</f>
        <v>0</v>
      </c>
      <c r="AJ81" s="710">
        <f>IF(NFI_Expiration=1,IF($A81&lt;VLOOKUP(P$5,NFI,5,0),1,0)*Data_NFI_t[[#This Row],[Blanket]],0)</f>
        <v>0</v>
      </c>
      <c r="AK81" s="710">
        <f>IF(NFI_Expiration=1,IF($A81&lt;VLOOKUP(Q$5,NFI,5,0),1,0)*Data_NFI_t[[#This Row],[Kitchen Set]],0)</f>
        <v>0</v>
      </c>
      <c r="AL81" s="710">
        <f>IF(NFI_Expiration=1,IF($A81&lt;VLOOKUP(R$5,NFI,5,0),1,0)*Data_NFI_t[[#This Row],[Complementary Kit]],0)</f>
        <v>0</v>
      </c>
      <c r="AM81" s="710">
        <f>IF(NFI_Expiration=1,IF($A81&lt;VLOOKUP(S$5,NFI,5,0),1,0)*Data_NFI_t[[#This Row],[Plastic Bucket]],0)</f>
        <v>0</v>
      </c>
      <c r="AN81" s="709">
        <f>IF(NFI_Expiration=1,IF($A81&lt;VLOOKUP(T$5,NFI,5,0),1,0)*Data_NFI_t[[#This Row],[Jerry Can]],0)</f>
        <v>0</v>
      </c>
      <c r="AO81" s="709">
        <f>IF(NFI_Expiration=1,IF($A81&lt;VLOOKUP(U$5,NFI,5,0),1,0)*Data_NFI_t[[#This Row],[Plastic Mat]],0)</f>
        <v>0</v>
      </c>
      <c r="AP81" s="709">
        <f>IF(NFI_Expiration=1,IF($A81&lt;VLOOKUP(V$5,NFI,5,0),1,0)*Data_NFI_t[[#This Row],[Adult Clothes]],0)</f>
        <v>0</v>
      </c>
      <c r="AQ81" s="709">
        <f>IF(NFI_Expiration=1,IF($A81&lt;VLOOKUP(W$5,NFI,5,0),1,0)*Data_NFI_t[[#This Row],[Children Clothes]],0)</f>
        <v>0</v>
      </c>
      <c r="AR81" s="709">
        <f>IF(NFI_Expiration=1,IF($A81&lt;VLOOKUP(X$5,NFI,5,0),1,0)*Data_NFI_t[[#This Row],[Sewing Kit]],0)</f>
        <v>0</v>
      </c>
      <c r="AS81" s="709">
        <f>IF(NFI_Expiration=1,IF($A81&lt;VLOOKUP(X$5,NFI,5,0),1,0)*Data_NFI_t[[#This Row],[Solar Lantern]],0)</f>
        <v>0</v>
      </c>
      <c r="AT81" s="105" t="str">
        <f ca="1">IFERROR(OFFSET(Camp_List[P_Code],MATCH(Data_NFI_t[[#This Row],[Camp Name]],Camp_List[Camp Name],0)-1,0,1,1),"")</f>
        <v>MMR012CMP019</v>
      </c>
      <c r="AU81" s="412" t="str">
        <f ca="1">IFERROR(OFFSET(Camp_List[Status],MATCH(Data_NFI_t[[#This Row],[Camp Name]],Camp_List[Camp Name],0)-1,0,1,1),"")</f>
        <v>Open</v>
      </c>
      <c r="AV81" s="105"/>
      <c r="AY81" s="747"/>
    </row>
    <row r="82" spans="1:51" s="745" customFormat="1" ht="21" customHeight="1" x14ac:dyDescent="0.25">
      <c r="A82" s="711">
        <f t="shared" si="3"/>
        <v>13.4</v>
      </c>
      <c r="B82" s="712">
        <f>YEAR(Data_NFI_t[[#This Row],[Distribution Date]])</f>
        <v>2017</v>
      </c>
      <c r="C82" s="904">
        <v>43032</v>
      </c>
      <c r="D82" s="708" t="s">
        <v>1035</v>
      </c>
      <c r="E82" s="708" t="s">
        <v>1035</v>
      </c>
      <c r="F82" s="708" t="s">
        <v>7</v>
      </c>
      <c r="G82" s="713" t="s">
        <v>17</v>
      </c>
      <c r="H82" s="713" t="s">
        <v>59</v>
      </c>
      <c r="I82" s="205"/>
      <c r="J82" s="886">
        <v>397</v>
      </c>
      <c r="K82" s="886">
        <v>2196</v>
      </c>
      <c r="L82" s="715"/>
      <c r="M82" s="715">
        <v>794</v>
      </c>
      <c r="N82" s="716"/>
      <c r="O82" s="716"/>
      <c r="P82" s="716"/>
      <c r="Q82" s="716"/>
      <c r="R82" s="716"/>
      <c r="S82" s="716"/>
      <c r="T82" s="717"/>
      <c r="U82" s="716"/>
      <c r="V82" s="887"/>
      <c r="W82" s="887"/>
      <c r="X82" s="716"/>
      <c r="Y82" s="716"/>
      <c r="Z82" s="716"/>
      <c r="AA82" s="716"/>
      <c r="AB82" s="716"/>
      <c r="AC82" s="716"/>
      <c r="AD82" s="709">
        <f>IF(NFI_Expiration=1,IF($A82&lt;VLOOKUP(I$5,NFI,5,0),1,0)*Data_NFI_t[[#This Row],[Hygiene Kit]],0)</f>
        <v>0</v>
      </c>
      <c r="AE82" s="709">
        <f>IF(NFI_Expiration=1,IF($A82&lt;VLOOKUP(L$5,NFI,5,0),1,0)*Data_NFI_t[[#This Row],[NFI Core Kit]],0)</f>
        <v>0</v>
      </c>
      <c r="AF82" s="710">
        <f>IF(NFI_Expiration=1,IF($A82&lt;VLOOKUP(M$5,NFI,5,0),1,0)*Data_NFI_t[[#This Row],[Sanitary Kit]],0)</f>
        <v>0</v>
      </c>
      <c r="AG82" s="1055">
        <f>IF(NFI_Expiration=1,IF($A82&lt;VLOOKUP(AC$5,NFI,5,0),1,0)*Data_NFI_t[[#This Row],[Rope]],0)</f>
        <v>0</v>
      </c>
      <c r="AH82" s="710">
        <f>IF(NFI_Expiration=1,IF($A82&lt;VLOOKUP(N$5,NFI,5,0),1,0)*Data_NFI_t[[#This Row],[Mosquito net]],0)</f>
        <v>0</v>
      </c>
      <c r="AI82" s="710">
        <f>IF(NFI_Expiration=1,IF($A82&lt;VLOOKUP(O$5,NFI,5,0),1,0)*Data_NFI_t[[#This Row],[Tarpaulin]],0)</f>
        <v>0</v>
      </c>
      <c r="AJ82" s="710">
        <f>IF(NFI_Expiration=1,IF($A82&lt;VLOOKUP(P$5,NFI,5,0),1,0)*Data_NFI_t[[#This Row],[Blanket]],0)</f>
        <v>0</v>
      </c>
      <c r="AK82" s="710">
        <f>IF(NFI_Expiration=1,IF($A82&lt;VLOOKUP(Q$5,NFI,5,0),1,0)*Data_NFI_t[[#This Row],[Kitchen Set]],0)</f>
        <v>0</v>
      </c>
      <c r="AL82" s="710">
        <f>IF(NFI_Expiration=1,IF($A82&lt;VLOOKUP(R$5,NFI,5,0),1,0)*Data_NFI_t[[#This Row],[Complementary Kit]],0)</f>
        <v>0</v>
      </c>
      <c r="AM82" s="710">
        <f>IF(NFI_Expiration=1,IF($A82&lt;VLOOKUP(S$5,NFI,5,0),1,0)*Data_NFI_t[[#This Row],[Plastic Bucket]],0)</f>
        <v>0</v>
      </c>
      <c r="AN82" s="709">
        <f>IF(NFI_Expiration=1,IF($A82&lt;VLOOKUP(T$5,NFI,5,0),1,0)*Data_NFI_t[[#This Row],[Jerry Can]],0)</f>
        <v>0</v>
      </c>
      <c r="AO82" s="709">
        <f>IF(NFI_Expiration=1,IF($A82&lt;VLOOKUP(U$5,NFI,5,0),1,0)*Data_NFI_t[[#This Row],[Plastic Mat]],0)</f>
        <v>0</v>
      </c>
      <c r="AP82" s="709">
        <f>IF(NFI_Expiration=1,IF($A82&lt;VLOOKUP(V$5,NFI,5,0),1,0)*Data_NFI_t[[#This Row],[Adult Clothes]],0)</f>
        <v>0</v>
      </c>
      <c r="AQ82" s="709">
        <f>IF(NFI_Expiration=1,IF($A82&lt;VLOOKUP(W$5,NFI,5,0),1,0)*Data_NFI_t[[#This Row],[Children Clothes]],0)</f>
        <v>0</v>
      </c>
      <c r="AR82" s="709">
        <f>IF(NFI_Expiration=1,IF($A82&lt;VLOOKUP(X$5,NFI,5,0),1,0)*Data_NFI_t[[#This Row],[Sewing Kit]],0)</f>
        <v>0</v>
      </c>
      <c r="AS82" s="709">
        <f>IF(NFI_Expiration=1,IF($A82&lt;VLOOKUP(X$5,NFI,5,0),1,0)*Data_NFI_t[[#This Row],[Solar Lantern]],0)</f>
        <v>0</v>
      </c>
      <c r="AT82" s="105" t="str">
        <f ca="1">IFERROR(OFFSET(Camp_List[P_Code],MATCH(Data_NFI_t[[#This Row],[Camp Name]],Camp_List[Camp Name],0)-1,0,1,1),"")</f>
        <v>MMR012CMP039</v>
      </c>
      <c r="AU82" s="412" t="str">
        <f ca="1">IFERROR(OFFSET(Camp_List[Status],MATCH(Data_NFI_t[[#This Row],[Camp Name]],Camp_List[Camp Name],0)-1,0,1,1),"")</f>
        <v>Open</v>
      </c>
      <c r="AV82" s="105"/>
      <c r="AY82" s="747"/>
    </row>
    <row r="83" spans="1:51" s="745" customFormat="1" ht="21" customHeight="1" x14ac:dyDescent="0.25">
      <c r="A83" s="711">
        <f t="shared" si="3"/>
        <v>13.4</v>
      </c>
      <c r="B83" s="712">
        <f>YEAR(Data_NFI_t[[#This Row],[Distribution Date]])</f>
        <v>2017</v>
      </c>
      <c r="C83" s="904">
        <v>43032</v>
      </c>
      <c r="D83" s="708" t="s">
        <v>1035</v>
      </c>
      <c r="E83" s="708" t="s">
        <v>1035</v>
      </c>
      <c r="F83" s="708" t="s">
        <v>7</v>
      </c>
      <c r="G83" s="713" t="s">
        <v>17</v>
      </c>
      <c r="H83" s="713" t="s">
        <v>586</v>
      </c>
      <c r="I83" s="205"/>
      <c r="J83" s="886">
        <v>2718</v>
      </c>
      <c r="K83" s="886">
        <v>13798</v>
      </c>
      <c r="L83" s="715"/>
      <c r="M83" s="715">
        <v>5436</v>
      </c>
      <c r="N83" s="716"/>
      <c r="O83" s="716"/>
      <c r="P83" s="716"/>
      <c r="Q83" s="716"/>
      <c r="R83" s="716"/>
      <c r="S83" s="716"/>
      <c r="T83" s="717"/>
      <c r="U83" s="716"/>
      <c r="V83" s="887"/>
      <c r="W83" s="887"/>
      <c r="X83" s="716"/>
      <c r="Y83" s="716"/>
      <c r="Z83" s="716"/>
      <c r="AA83" s="716"/>
      <c r="AB83" s="716"/>
      <c r="AC83" s="716"/>
      <c r="AD83" s="709">
        <f>IF(NFI_Expiration=1,IF($A83&lt;VLOOKUP(I$5,NFI,5,0),1,0)*Data_NFI_t[[#This Row],[Hygiene Kit]],0)</f>
        <v>0</v>
      </c>
      <c r="AE83" s="709">
        <f>IF(NFI_Expiration=1,IF($A83&lt;VLOOKUP(L$5,NFI,5,0),1,0)*Data_NFI_t[[#This Row],[NFI Core Kit]],0)</f>
        <v>0</v>
      </c>
      <c r="AF83" s="710">
        <f>IF(NFI_Expiration=1,IF($A83&lt;VLOOKUP(M$5,NFI,5,0),1,0)*Data_NFI_t[[#This Row],[Sanitary Kit]],0)</f>
        <v>0</v>
      </c>
      <c r="AG83" s="1055">
        <f>IF(NFI_Expiration=1,IF($A83&lt;VLOOKUP(AC$5,NFI,5,0),1,0)*Data_NFI_t[[#This Row],[Rope]],0)</f>
        <v>0</v>
      </c>
      <c r="AH83" s="710">
        <f>IF(NFI_Expiration=1,IF($A83&lt;VLOOKUP(N$5,NFI,5,0),1,0)*Data_NFI_t[[#This Row],[Mosquito net]],0)</f>
        <v>0</v>
      </c>
      <c r="AI83" s="710">
        <f>IF(NFI_Expiration=1,IF($A83&lt;VLOOKUP(O$5,NFI,5,0),1,0)*Data_NFI_t[[#This Row],[Tarpaulin]],0)</f>
        <v>0</v>
      </c>
      <c r="AJ83" s="710">
        <f>IF(NFI_Expiration=1,IF($A83&lt;VLOOKUP(P$5,NFI,5,0),1,0)*Data_NFI_t[[#This Row],[Blanket]],0)</f>
        <v>0</v>
      </c>
      <c r="AK83" s="710">
        <f>IF(NFI_Expiration=1,IF($A83&lt;VLOOKUP(Q$5,NFI,5,0),1,0)*Data_NFI_t[[#This Row],[Kitchen Set]],0)</f>
        <v>0</v>
      </c>
      <c r="AL83" s="710">
        <f>IF(NFI_Expiration=1,IF($A83&lt;VLOOKUP(R$5,NFI,5,0),1,0)*Data_NFI_t[[#This Row],[Complementary Kit]],0)</f>
        <v>0</v>
      </c>
      <c r="AM83" s="710">
        <f>IF(NFI_Expiration=1,IF($A83&lt;VLOOKUP(S$5,NFI,5,0),1,0)*Data_NFI_t[[#This Row],[Plastic Bucket]],0)</f>
        <v>0</v>
      </c>
      <c r="AN83" s="709">
        <f>IF(NFI_Expiration=1,IF($A83&lt;VLOOKUP(T$5,NFI,5,0),1,0)*Data_NFI_t[[#This Row],[Jerry Can]],0)</f>
        <v>0</v>
      </c>
      <c r="AO83" s="709">
        <f>IF(NFI_Expiration=1,IF($A83&lt;VLOOKUP(U$5,NFI,5,0),1,0)*Data_NFI_t[[#This Row],[Plastic Mat]],0)</f>
        <v>0</v>
      </c>
      <c r="AP83" s="709">
        <f>IF(NFI_Expiration=1,IF($A83&lt;VLOOKUP(V$5,NFI,5,0),1,0)*Data_NFI_t[[#This Row],[Adult Clothes]],0)</f>
        <v>0</v>
      </c>
      <c r="AQ83" s="709">
        <f>IF(NFI_Expiration=1,IF($A83&lt;VLOOKUP(W$5,NFI,5,0),1,0)*Data_NFI_t[[#This Row],[Children Clothes]],0)</f>
        <v>0</v>
      </c>
      <c r="AR83" s="709">
        <f>IF(NFI_Expiration=1,IF($A83&lt;VLOOKUP(X$5,NFI,5,0),1,0)*Data_NFI_t[[#This Row],[Sewing Kit]],0)</f>
        <v>0</v>
      </c>
      <c r="AS83" s="709">
        <f>IF(NFI_Expiration=1,IF($A83&lt;VLOOKUP(X$5,NFI,5,0),1,0)*Data_NFI_t[[#This Row],[Solar Lantern]],0)</f>
        <v>0</v>
      </c>
      <c r="AT83" s="105" t="str">
        <f ca="1">IFERROR(OFFSET(Camp_List[P_Code],MATCH(Data_NFI_t[[#This Row],[Camp Name]],Camp_List[Camp Name],0)-1,0,1,1),"")</f>
        <v>MMR012CMP115</v>
      </c>
      <c r="AU83" s="412" t="str">
        <f ca="1">IFERROR(OFFSET(Camp_List[Status],MATCH(Data_NFI_t[[#This Row],[Camp Name]],Camp_List[Camp Name],0)-1,0,1,1),"")</f>
        <v>Open</v>
      </c>
      <c r="AV83" s="105"/>
      <c r="AY83" s="747"/>
    </row>
    <row r="84" spans="1:51" s="745" customFormat="1" ht="21" customHeight="1" x14ac:dyDescent="0.25">
      <c r="A84" s="711">
        <f t="shared" si="3"/>
        <v>13.433333333333334</v>
      </c>
      <c r="B84" s="712">
        <f>YEAR(Data_NFI_t[[#This Row],[Distribution Date]])</f>
        <v>2017</v>
      </c>
      <c r="C84" s="904">
        <v>43031</v>
      </c>
      <c r="D84" s="708" t="s">
        <v>1035</v>
      </c>
      <c r="E84" s="708" t="s">
        <v>1035</v>
      </c>
      <c r="F84" s="708" t="s">
        <v>7</v>
      </c>
      <c r="G84" s="713" t="s">
        <v>17</v>
      </c>
      <c r="H84" s="713" t="s">
        <v>580</v>
      </c>
      <c r="I84" s="205"/>
      <c r="J84" s="886">
        <v>656</v>
      </c>
      <c r="K84" s="886">
        <v>3492</v>
      </c>
      <c r="L84" s="715"/>
      <c r="M84" s="715">
        <v>1312</v>
      </c>
      <c r="N84" s="716"/>
      <c r="O84" s="716"/>
      <c r="P84" s="716"/>
      <c r="Q84" s="716"/>
      <c r="R84" s="716"/>
      <c r="S84" s="716"/>
      <c r="T84" s="717"/>
      <c r="U84" s="716"/>
      <c r="V84" s="887"/>
      <c r="W84" s="887"/>
      <c r="X84" s="716"/>
      <c r="Y84" s="716"/>
      <c r="Z84" s="716"/>
      <c r="AA84" s="716"/>
      <c r="AB84" s="716"/>
      <c r="AC84" s="716"/>
      <c r="AD84" s="709">
        <f>IF(NFI_Expiration=1,IF($A84&lt;VLOOKUP(I$5,NFI,5,0),1,0)*Data_NFI_t[[#This Row],[Hygiene Kit]],0)</f>
        <v>0</v>
      </c>
      <c r="AE84" s="709">
        <f>IF(NFI_Expiration=1,IF($A84&lt;VLOOKUP(L$5,NFI,5,0),1,0)*Data_NFI_t[[#This Row],[NFI Core Kit]],0)</f>
        <v>0</v>
      </c>
      <c r="AF84" s="710">
        <f>IF(NFI_Expiration=1,IF($A84&lt;VLOOKUP(M$5,NFI,5,0),1,0)*Data_NFI_t[[#This Row],[Sanitary Kit]],0)</f>
        <v>0</v>
      </c>
      <c r="AG84" s="1055">
        <f>IF(NFI_Expiration=1,IF($A84&lt;VLOOKUP(AC$5,NFI,5,0),1,0)*Data_NFI_t[[#This Row],[Rope]],0)</f>
        <v>0</v>
      </c>
      <c r="AH84" s="710">
        <f>IF(NFI_Expiration=1,IF($A84&lt;VLOOKUP(N$5,NFI,5,0),1,0)*Data_NFI_t[[#This Row],[Mosquito net]],0)</f>
        <v>0</v>
      </c>
      <c r="AI84" s="710">
        <f>IF(NFI_Expiration=1,IF($A84&lt;VLOOKUP(O$5,NFI,5,0),1,0)*Data_NFI_t[[#This Row],[Tarpaulin]],0)</f>
        <v>0</v>
      </c>
      <c r="AJ84" s="710">
        <f>IF(NFI_Expiration=1,IF($A84&lt;VLOOKUP(P$5,NFI,5,0),1,0)*Data_NFI_t[[#This Row],[Blanket]],0)</f>
        <v>0</v>
      </c>
      <c r="AK84" s="710">
        <f>IF(NFI_Expiration=1,IF($A84&lt;VLOOKUP(Q$5,NFI,5,0),1,0)*Data_NFI_t[[#This Row],[Kitchen Set]],0)</f>
        <v>0</v>
      </c>
      <c r="AL84" s="710">
        <f>IF(NFI_Expiration=1,IF($A84&lt;VLOOKUP(R$5,NFI,5,0),1,0)*Data_NFI_t[[#This Row],[Complementary Kit]],0)</f>
        <v>0</v>
      </c>
      <c r="AM84" s="710">
        <f>IF(NFI_Expiration=1,IF($A84&lt;VLOOKUP(S$5,NFI,5,0),1,0)*Data_NFI_t[[#This Row],[Plastic Bucket]],0)</f>
        <v>0</v>
      </c>
      <c r="AN84" s="709">
        <f>IF(NFI_Expiration=1,IF($A84&lt;VLOOKUP(T$5,NFI,5,0),1,0)*Data_NFI_t[[#This Row],[Jerry Can]],0)</f>
        <v>0</v>
      </c>
      <c r="AO84" s="709">
        <f>IF(NFI_Expiration=1,IF($A84&lt;VLOOKUP(U$5,NFI,5,0),1,0)*Data_NFI_t[[#This Row],[Plastic Mat]],0)</f>
        <v>0</v>
      </c>
      <c r="AP84" s="709">
        <f>IF(NFI_Expiration=1,IF($A84&lt;VLOOKUP(V$5,NFI,5,0),1,0)*Data_NFI_t[[#This Row],[Adult Clothes]],0)</f>
        <v>0</v>
      </c>
      <c r="AQ84" s="709">
        <f>IF(NFI_Expiration=1,IF($A84&lt;VLOOKUP(W$5,NFI,5,0),1,0)*Data_NFI_t[[#This Row],[Children Clothes]],0)</f>
        <v>0</v>
      </c>
      <c r="AR84" s="709">
        <f>IF(NFI_Expiration=1,IF($A84&lt;VLOOKUP(X$5,NFI,5,0),1,0)*Data_NFI_t[[#This Row],[Sewing Kit]],0)</f>
        <v>0</v>
      </c>
      <c r="AS84" s="709">
        <f>IF(NFI_Expiration=1,IF($A84&lt;VLOOKUP(X$5,NFI,5,0),1,0)*Data_NFI_t[[#This Row],[Solar Lantern]],0)</f>
        <v>0</v>
      </c>
      <c r="AT84" s="105" t="str">
        <f ca="1">IFERROR(OFFSET(Camp_List[P_Code],MATCH(Data_NFI_t[[#This Row],[Camp Name]],Camp_List[Camp Name],0)-1,0,1,1),"")</f>
        <v>MMR012CMP092</v>
      </c>
      <c r="AU84" s="412" t="str">
        <f ca="1">IFERROR(OFFSET(Camp_List[Status],MATCH(Data_NFI_t[[#This Row],[Camp Name]],Camp_List[Camp Name],0)-1,0,1,1),"")</f>
        <v>Open</v>
      </c>
      <c r="AV84" s="105"/>
      <c r="AY84" s="747"/>
    </row>
    <row r="85" spans="1:51" s="745" customFormat="1" ht="21" customHeight="1" x14ac:dyDescent="0.25">
      <c r="A85" s="711">
        <f t="shared" si="3"/>
        <v>13.433333333333334</v>
      </c>
      <c r="B85" s="712">
        <f>YEAR(Data_NFI_t[[#This Row],[Distribution Date]])</f>
        <v>2017</v>
      </c>
      <c r="C85" s="904">
        <v>43031</v>
      </c>
      <c r="D85" s="708" t="s">
        <v>1035</v>
      </c>
      <c r="E85" s="708" t="s">
        <v>1035</v>
      </c>
      <c r="F85" s="708" t="s">
        <v>7</v>
      </c>
      <c r="G85" s="713" t="s">
        <v>17</v>
      </c>
      <c r="H85" s="713" t="s">
        <v>68</v>
      </c>
      <c r="I85" s="205"/>
      <c r="J85" s="886">
        <v>1013</v>
      </c>
      <c r="K85" s="886">
        <v>5928</v>
      </c>
      <c r="L85" s="715"/>
      <c r="M85" s="715">
        <v>2026</v>
      </c>
      <c r="N85" s="716"/>
      <c r="O85" s="716"/>
      <c r="P85" s="716"/>
      <c r="Q85" s="716"/>
      <c r="R85" s="716"/>
      <c r="S85" s="716"/>
      <c r="T85" s="717"/>
      <c r="U85" s="716"/>
      <c r="V85" s="887"/>
      <c r="W85" s="887"/>
      <c r="X85" s="716"/>
      <c r="Y85" s="716"/>
      <c r="Z85" s="716"/>
      <c r="AA85" s="716"/>
      <c r="AB85" s="716"/>
      <c r="AC85" s="716"/>
      <c r="AD85" s="709">
        <f>IF(NFI_Expiration=1,IF($A85&lt;VLOOKUP(I$5,NFI,5,0),1,0)*Data_NFI_t[[#This Row],[Hygiene Kit]],0)</f>
        <v>0</v>
      </c>
      <c r="AE85" s="709">
        <f>IF(NFI_Expiration=1,IF($A85&lt;VLOOKUP(L$5,NFI,5,0),1,0)*Data_NFI_t[[#This Row],[NFI Core Kit]],0)</f>
        <v>0</v>
      </c>
      <c r="AF85" s="710">
        <f>IF(NFI_Expiration=1,IF($A85&lt;VLOOKUP(M$5,NFI,5,0),1,0)*Data_NFI_t[[#This Row],[Sanitary Kit]],0)</f>
        <v>0</v>
      </c>
      <c r="AG85" s="1055">
        <f>IF(NFI_Expiration=1,IF($A85&lt;VLOOKUP(AC$5,NFI,5,0),1,0)*Data_NFI_t[[#This Row],[Rope]],0)</f>
        <v>0</v>
      </c>
      <c r="AH85" s="710">
        <f>IF(NFI_Expiration=1,IF($A85&lt;VLOOKUP(N$5,NFI,5,0),1,0)*Data_NFI_t[[#This Row],[Mosquito net]],0)</f>
        <v>0</v>
      </c>
      <c r="AI85" s="710">
        <f>IF(NFI_Expiration=1,IF($A85&lt;VLOOKUP(O$5,NFI,5,0),1,0)*Data_NFI_t[[#This Row],[Tarpaulin]],0)</f>
        <v>0</v>
      </c>
      <c r="AJ85" s="710">
        <f>IF(NFI_Expiration=1,IF($A85&lt;VLOOKUP(P$5,NFI,5,0),1,0)*Data_NFI_t[[#This Row],[Blanket]],0)</f>
        <v>0</v>
      </c>
      <c r="AK85" s="710">
        <f>IF(NFI_Expiration=1,IF($A85&lt;VLOOKUP(Q$5,NFI,5,0),1,0)*Data_NFI_t[[#This Row],[Kitchen Set]],0)</f>
        <v>0</v>
      </c>
      <c r="AL85" s="710">
        <f>IF(NFI_Expiration=1,IF($A85&lt;VLOOKUP(R$5,NFI,5,0),1,0)*Data_NFI_t[[#This Row],[Complementary Kit]],0)</f>
        <v>0</v>
      </c>
      <c r="AM85" s="710">
        <f>IF(NFI_Expiration=1,IF($A85&lt;VLOOKUP(S$5,NFI,5,0),1,0)*Data_NFI_t[[#This Row],[Plastic Bucket]],0)</f>
        <v>0</v>
      </c>
      <c r="AN85" s="709">
        <f>IF(NFI_Expiration=1,IF($A85&lt;VLOOKUP(T$5,NFI,5,0),1,0)*Data_NFI_t[[#This Row],[Jerry Can]],0)</f>
        <v>0</v>
      </c>
      <c r="AO85" s="709">
        <f>IF(NFI_Expiration=1,IF($A85&lt;VLOOKUP(U$5,NFI,5,0),1,0)*Data_NFI_t[[#This Row],[Plastic Mat]],0)</f>
        <v>0</v>
      </c>
      <c r="AP85" s="709">
        <f>IF(NFI_Expiration=1,IF($A85&lt;VLOOKUP(V$5,NFI,5,0),1,0)*Data_NFI_t[[#This Row],[Adult Clothes]],0)</f>
        <v>0</v>
      </c>
      <c r="AQ85" s="709">
        <f>IF(NFI_Expiration=1,IF($A85&lt;VLOOKUP(W$5,NFI,5,0),1,0)*Data_NFI_t[[#This Row],[Children Clothes]],0)</f>
        <v>0</v>
      </c>
      <c r="AR85" s="709">
        <f>IF(NFI_Expiration=1,IF($A85&lt;VLOOKUP(X$5,NFI,5,0),1,0)*Data_NFI_t[[#This Row],[Sewing Kit]],0)</f>
        <v>0</v>
      </c>
      <c r="AS85" s="709">
        <f>IF(NFI_Expiration=1,IF($A85&lt;VLOOKUP(X$5,NFI,5,0),1,0)*Data_NFI_t[[#This Row],[Solar Lantern]],0)</f>
        <v>0</v>
      </c>
      <c r="AT85" s="105" t="str">
        <f ca="1">IFERROR(OFFSET(Camp_List[P_Code],MATCH(Data_NFI_t[[#This Row],[Camp Name]],Camp_List[Camp Name],0)-1,0,1,1),"")</f>
        <v>MMR012CMP048</v>
      </c>
      <c r="AU85" s="412" t="str">
        <f ca="1">IFERROR(OFFSET(Camp_List[Status],MATCH(Data_NFI_t[[#This Row],[Camp Name]],Camp_List[Camp Name],0)-1,0,1,1),"")</f>
        <v>Open</v>
      </c>
      <c r="AV85" s="105"/>
      <c r="AY85" s="747"/>
    </row>
    <row r="86" spans="1:51" s="745" customFormat="1" ht="21" customHeight="1" x14ac:dyDescent="0.25">
      <c r="A86" s="711">
        <f t="shared" si="3"/>
        <v>14.166666666666666</v>
      </c>
      <c r="B86" s="712">
        <f>YEAR(Data_NFI_t[[#This Row],[Distribution Date]])</f>
        <v>2017</v>
      </c>
      <c r="C86" s="904">
        <v>43009</v>
      </c>
      <c r="D86" s="708" t="s">
        <v>272</v>
      </c>
      <c r="E86" s="708" t="s">
        <v>1113</v>
      </c>
      <c r="F86" s="708" t="s">
        <v>7</v>
      </c>
      <c r="G86" s="713" t="s">
        <v>13</v>
      </c>
      <c r="H86" s="713" t="s">
        <v>38</v>
      </c>
      <c r="I86" s="205"/>
      <c r="J86" s="886">
        <v>1238</v>
      </c>
      <c r="K86" s="886">
        <v>6809</v>
      </c>
      <c r="L86" s="715"/>
      <c r="M86" s="715">
        <v>1238</v>
      </c>
      <c r="N86" s="716"/>
      <c r="O86" s="716">
        <v>1238</v>
      </c>
      <c r="P86" s="716"/>
      <c r="Q86" s="716"/>
      <c r="R86" s="716"/>
      <c r="S86" s="716">
        <v>1238</v>
      </c>
      <c r="T86" s="717"/>
      <c r="U86" s="716"/>
      <c r="V86" s="887"/>
      <c r="W86" s="887"/>
      <c r="X86" s="716"/>
      <c r="Y86" s="716"/>
      <c r="Z86" s="716"/>
      <c r="AA86" s="716"/>
      <c r="AB86" s="716"/>
      <c r="AC86" s="716"/>
      <c r="AD86" s="709">
        <f>IF(NFI_Expiration=1,IF($A86&lt;VLOOKUP(I$5,NFI,5,0),1,0)*Data_NFI_t[[#This Row],[Hygiene Kit]],0)</f>
        <v>0</v>
      </c>
      <c r="AE86" s="709">
        <f>IF(NFI_Expiration=1,IF($A86&lt;VLOOKUP(L$5,NFI,5,0),1,0)*Data_NFI_t[[#This Row],[NFI Core Kit]],0)</f>
        <v>0</v>
      </c>
      <c r="AF86" s="710">
        <f>IF(NFI_Expiration=1,IF($A86&lt;VLOOKUP(M$5,NFI,5,0),1,0)*Data_NFI_t[[#This Row],[Sanitary Kit]],0)</f>
        <v>0</v>
      </c>
      <c r="AG86" s="1055">
        <f>IF(NFI_Expiration=1,IF($A86&lt;VLOOKUP(AC$5,NFI,5,0),1,0)*Data_NFI_t[[#This Row],[Rope]],0)</f>
        <v>0</v>
      </c>
      <c r="AH86" s="710">
        <f>IF(NFI_Expiration=1,IF($A86&lt;VLOOKUP(N$5,NFI,5,0),1,0)*Data_NFI_t[[#This Row],[Mosquito net]],0)</f>
        <v>0</v>
      </c>
      <c r="AI86" s="710">
        <f>IF(NFI_Expiration=1,IF($A86&lt;VLOOKUP(O$5,NFI,5,0),1,0)*Data_NFI_t[[#This Row],[Tarpaulin]],0)</f>
        <v>0</v>
      </c>
      <c r="AJ86" s="710">
        <f>IF(NFI_Expiration=1,IF($A86&lt;VLOOKUP(P$5,NFI,5,0),1,0)*Data_NFI_t[[#This Row],[Blanket]],0)</f>
        <v>0</v>
      </c>
      <c r="AK86" s="710">
        <f>IF(NFI_Expiration=1,IF($A86&lt;VLOOKUP(Q$5,NFI,5,0),1,0)*Data_NFI_t[[#This Row],[Kitchen Set]],0)</f>
        <v>0</v>
      </c>
      <c r="AL86" s="710">
        <f>IF(NFI_Expiration=1,IF($A86&lt;VLOOKUP(R$5,NFI,5,0),1,0)*Data_NFI_t[[#This Row],[Complementary Kit]],0)</f>
        <v>0</v>
      </c>
      <c r="AM86" s="710">
        <f>IF(NFI_Expiration=1,IF($A86&lt;VLOOKUP(S$5,NFI,5,0),1,0)*Data_NFI_t[[#This Row],[Plastic Bucket]],0)</f>
        <v>0</v>
      </c>
      <c r="AN86" s="709">
        <f>IF(NFI_Expiration=1,IF($A86&lt;VLOOKUP(T$5,NFI,5,0),1,0)*Data_NFI_t[[#This Row],[Jerry Can]],0)</f>
        <v>0</v>
      </c>
      <c r="AO86" s="709">
        <f>IF(NFI_Expiration=1,IF($A86&lt;VLOOKUP(U$5,NFI,5,0),1,0)*Data_NFI_t[[#This Row],[Plastic Mat]],0)</f>
        <v>0</v>
      </c>
      <c r="AP86" s="709">
        <f>IF(NFI_Expiration=1,IF($A86&lt;VLOOKUP(V$5,NFI,5,0),1,0)*Data_NFI_t[[#This Row],[Adult Clothes]],0)</f>
        <v>0</v>
      </c>
      <c r="AQ86" s="709">
        <f>IF(NFI_Expiration=1,IF($A86&lt;VLOOKUP(W$5,NFI,5,0),1,0)*Data_NFI_t[[#This Row],[Children Clothes]],0)</f>
        <v>0</v>
      </c>
      <c r="AR86" s="709">
        <f>IF(NFI_Expiration=1,IF($A86&lt;VLOOKUP(X$5,NFI,5,0),1,0)*Data_NFI_t[[#This Row],[Sewing Kit]],0)</f>
        <v>0</v>
      </c>
      <c r="AS86" s="709">
        <f>IF(NFI_Expiration=1,IF($A86&lt;VLOOKUP(X$5,NFI,5,0),1,0)*Data_NFI_t[[#This Row],[Solar Lantern]],0)</f>
        <v>0</v>
      </c>
      <c r="AT86" s="105" t="str">
        <f ca="1">IFERROR(OFFSET(Camp_List[P_Code],MATCH(Data_NFI_t[[#This Row],[Camp Name]],Camp_List[Camp Name],0)-1,0,1,1),"")</f>
        <v>MMR012CMP016</v>
      </c>
      <c r="AU86" s="412" t="str">
        <f ca="1">IFERROR(OFFSET(Camp_List[Status],MATCH(Data_NFI_t[[#This Row],[Camp Name]],Camp_List[Camp Name],0)-1,0,1,1),"")</f>
        <v>Open</v>
      </c>
      <c r="AV86" s="105"/>
      <c r="AY86" s="747"/>
    </row>
    <row r="87" spans="1:51" s="745" customFormat="1" ht="21" customHeight="1" x14ac:dyDescent="0.25">
      <c r="A87" s="711">
        <f t="shared" si="3"/>
        <v>14.166666666666666</v>
      </c>
      <c r="B87" s="712">
        <f>YEAR(Data_NFI_t[[#This Row],[Distribution Date]])</f>
        <v>2017</v>
      </c>
      <c r="C87" s="904">
        <v>43009</v>
      </c>
      <c r="D87" s="708" t="s">
        <v>1016</v>
      </c>
      <c r="E87" s="708" t="s">
        <v>1016</v>
      </c>
      <c r="F87" s="708" t="s">
        <v>7</v>
      </c>
      <c r="G87" s="713" t="s">
        <v>17</v>
      </c>
      <c r="H87" s="713" t="s">
        <v>66</v>
      </c>
      <c r="I87" s="205"/>
      <c r="J87" s="886">
        <v>1138</v>
      </c>
      <c r="K87" s="886">
        <v>6259</v>
      </c>
      <c r="L87" s="715"/>
      <c r="M87" s="715">
        <v>1138</v>
      </c>
      <c r="N87" s="716"/>
      <c r="O87" s="716"/>
      <c r="P87" s="716"/>
      <c r="Q87" s="716"/>
      <c r="R87" s="716"/>
      <c r="S87" s="716"/>
      <c r="T87" s="717"/>
      <c r="U87" s="716"/>
      <c r="V87" s="887"/>
      <c r="W87" s="887"/>
      <c r="X87" s="716"/>
      <c r="Y87" s="716"/>
      <c r="Z87" s="716"/>
      <c r="AA87" s="716"/>
      <c r="AB87" s="716"/>
      <c r="AC87" s="716"/>
      <c r="AD87" s="709">
        <f>IF(NFI_Expiration=1,IF($A87&lt;VLOOKUP(I$5,NFI,5,0),1,0)*Data_NFI_t[[#This Row],[Hygiene Kit]],0)</f>
        <v>0</v>
      </c>
      <c r="AE87" s="709">
        <f>IF(NFI_Expiration=1,IF($A87&lt;VLOOKUP(L$5,NFI,5,0),1,0)*Data_NFI_t[[#This Row],[NFI Core Kit]],0)</f>
        <v>0</v>
      </c>
      <c r="AF87" s="710">
        <f>IF(NFI_Expiration=1,IF($A87&lt;VLOOKUP(M$5,NFI,5,0),1,0)*Data_NFI_t[[#This Row],[Sanitary Kit]],0)</f>
        <v>0</v>
      </c>
      <c r="AG87" s="1055">
        <f>IF(NFI_Expiration=1,IF($A87&lt;VLOOKUP(AC$5,NFI,5,0),1,0)*Data_NFI_t[[#This Row],[Rope]],0)</f>
        <v>0</v>
      </c>
      <c r="AH87" s="710">
        <f>IF(NFI_Expiration=1,IF($A87&lt;VLOOKUP(N$5,NFI,5,0),1,0)*Data_NFI_t[[#This Row],[Mosquito net]],0)</f>
        <v>0</v>
      </c>
      <c r="AI87" s="710">
        <f>IF(NFI_Expiration=1,IF($A87&lt;VLOOKUP(O$5,NFI,5,0),1,0)*Data_NFI_t[[#This Row],[Tarpaulin]],0)</f>
        <v>0</v>
      </c>
      <c r="AJ87" s="710">
        <f>IF(NFI_Expiration=1,IF($A87&lt;VLOOKUP(P$5,NFI,5,0),1,0)*Data_NFI_t[[#This Row],[Blanket]],0)</f>
        <v>0</v>
      </c>
      <c r="AK87" s="710">
        <f>IF(NFI_Expiration=1,IF($A87&lt;VLOOKUP(Q$5,NFI,5,0),1,0)*Data_NFI_t[[#This Row],[Kitchen Set]],0)</f>
        <v>0</v>
      </c>
      <c r="AL87" s="710">
        <f>IF(NFI_Expiration=1,IF($A87&lt;VLOOKUP(R$5,NFI,5,0),1,0)*Data_NFI_t[[#This Row],[Complementary Kit]],0)</f>
        <v>0</v>
      </c>
      <c r="AM87" s="710">
        <f>IF(NFI_Expiration=1,IF($A87&lt;VLOOKUP(S$5,NFI,5,0),1,0)*Data_NFI_t[[#This Row],[Plastic Bucket]],0)</f>
        <v>0</v>
      </c>
      <c r="AN87" s="709">
        <f>IF(NFI_Expiration=1,IF($A87&lt;VLOOKUP(T$5,NFI,5,0),1,0)*Data_NFI_t[[#This Row],[Jerry Can]],0)</f>
        <v>0</v>
      </c>
      <c r="AO87" s="709">
        <f>IF(NFI_Expiration=1,IF($A87&lt;VLOOKUP(U$5,NFI,5,0),1,0)*Data_NFI_t[[#This Row],[Plastic Mat]],0)</f>
        <v>0</v>
      </c>
      <c r="AP87" s="709">
        <f>IF(NFI_Expiration=1,IF($A87&lt;VLOOKUP(V$5,NFI,5,0),1,0)*Data_NFI_t[[#This Row],[Adult Clothes]],0)</f>
        <v>0</v>
      </c>
      <c r="AQ87" s="709">
        <f>IF(NFI_Expiration=1,IF($A87&lt;VLOOKUP(W$5,NFI,5,0),1,0)*Data_NFI_t[[#This Row],[Children Clothes]],0)</f>
        <v>0</v>
      </c>
      <c r="AR87" s="709">
        <f>IF(NFI_Expiration=1,IF($A87&lt;VLOOKUP(X$5,NFI,5,0),1,0)*Data_NFI_t[[#This Row],[Sewing Kit]],0)</f>
        <v>0</v>
      </c>
      <c r="AS87" s="709">
        <f>IF(NFI_Expiration=1,IF($A87&lt;VLOOKUP(X$5,NFI,5,0),1,0)*Data_NFI_t[[#This Row],[Solar Lantern]],0)</f>
        <v>0</v>
      </c>
      <c r="AT87" s="105" t="str">
        <f ca="1">IFERROR(OFFSET(Camp_List[P_Code],MATCH(Data_NFI_t[[#This Row],[Camp Name]],Camp_List[Camp Name],0)-1,0,1,1),"")</f>
        <v>MMR012CMP046</v>
      </c>
      <c r="AU87" s="412" t="str">
        <f ca="1">IFERROR(OFFSET(Camp_List[Status],MATCH(Data_NFI_t[[#This Row],[Camp Name]],Camp_List[Camp Name],0)-1,0,1,1),"")</f>
        <v>Open</v>
      </c>
      <c r="AV87" s="105"/>
      <c r="AY87" s="747"/>
    </row>
    <row r="88" spans="1:51" s="745" customFormat="1" ht="21" customHeight="1" x14ac:dyDescent="0.25">
      <c r="A88" s="711">
        <f t="shared" si="3"/>
        <v>15.433333333333334</v>
      </c>
      <c r="B88" s="712">
        <f>YEAR(Data_NFI_t[[#This Row],[Distribution Date]])</f>
        <v>2017</v>
      </c>
      <c r="C88" s="904">
        <v>42971</v>
      </c>
      <c r="D88" s="708" t="s">
        <v>1016</v>
      </c>
      <c r="E88" s="708" t="s">
        <v>1016</v>
      </c>
      <c r="F88" s="708" t="s">
        <v>7</v>
      </c>
      <c r="G88" s="713" t="s">
        <v>17</v>
      </c>
      <c r="H88" s="713" t="s">
        <v>62</v>
      </c>
      <c r="I88" s="205"/>
      <c r="J88" s="886">
        <v>400</v>
      </c>
      <c r="K88" s="886">
        <v>2187</v>
      </c>
      <c r="L88" s="715"/>
      <c r="M88" s="715">
        <v>800</v>
      </c>
      <c r="N88" s="716"/>
      <c r="O88" s="716"/>
      <c r="P88" s="716"/>
      <c r="Q88" s="716"/>
      <c r="R88" s="716"/>
      <c r="S88" s="716"/>
      <c r="T88" s="717"/>
      <c r="U88" s="716"/>
      <c r="V88" s="887"/>
      <c r="W88" s="887"/>
      <c r="X88" s="716"/>
      <c r="Y88" s="716"/>
      <c r="Z88" s="716"/>
      <c r="AA88" s="716"/>
      <c r="AB88" s="716"/>
      <c r="AC88" s="716"/>
      <c r="AD88" s="709">
        <f>IF(NFI_Expiration=1,IF($A88&lt;VLOOKUP(I$5,NFI,5,0),1,0)*Data_NFI_t[[#This Row],[Hygiene Kit]],0)</f>
        <v>0</v>
      </c>
      <c r="AE88" s="709">
        <f>IF(NFI_Expiration=1,IF($A88&lt;VLOOKUP(L$5,NFI,5,0),1,0)*Data_NFI_t[[#This Row],[NFI Core Kit]],0)</f>
        <v>0</v>
      </c>
      <c r="AF88" s="710">
        <f>IF(NFI_Expiration=1,IF($A88&lt;VLOOKUP(M$5,NFI,5,0),1,0)*Data_NFI_t[[#This Row],[Sanitary Kit]],0)</f>
        <v>0</v>
      </c>
      <c r="AG88" s="1055">
        <f>IF(NFI_Expiration=1,IF($A88&lt;VLOOKUP(AC$5,NFI,5,0),1,0)*Data_NFI_t[[#This Row],[Rope]],0)</f>
        <v>0</v>
      </c>
      <c r="AH88" s="710">
        <f>IF(NFI_Expiration=1,IF($A88&lt;VLOOKUP(N$5,NFI,5,0),1,0)*Data_NFI_t[[#This Row],[Mosquito net]],0)</f>
        <v>0</v>
      </c>
      <c r="AI88" s="710">
        <f>IF(NFI_Expiration=1,IF($A88&lt;VLOOKUP(O$5,NFI,5,0),1,0)*Data_NFI_t[[#This Row],[Tarpaulin]],0)</f>
        <v>0</v>
      </c>
      <c r="AJ88" s="710">
        <f>IF(NFI_Expiration=1,IF($A88&lt;VLOOKUP(P$5,NFI,5,0),1,0)*Data_NFI_t[[#This Row],[Blanket]],0)</f>
        <v>0</v>
      </c>
      <c r="AK88" s="710">
        <f>IF(NFI_Expiration=1,IF($A88&lt;VLOOKUP(Q$5,NFI,5,0),1,0)*Data_NFI_t[[#This Row],[Kitchen Set]],0)</f>
        <v>0</v>
      </c>
      <c r="AL88" s="710">
        <f>IF(NFI_Expiration=1,IF($A88&lt;VLOOKUP(R$5,NFI,5,0),1,0)*Data_NFI_t[[#This Row],[Complementary Kit]],0)</f>
        <v>0</v>
      </c>
      <c r="AM88" s="710">
        <f>IF(NFI_Expiration=1,IF($A88&lt;VLOOKUP(S$5,NFI,5,0),1,0)*Data_NFI_t[[#This Row],[Plastic Bucket]],0)</f>
        <v>0</v>
      </c>
      <c r="AN88" s="709">
        <f>IF(NFI_Expiration=1,IF($A88&lt;VLOOKUP(T$5,NFI,5,0),1,0)*Data_NFI_t[[#This Row],[Jerry Can]],0)</f>
        <v>0</v>
      </c>
      <c r="AO88" s="709">
        <f>IF(NFI_Expiration=1,IF($A88&lt;VLOOKUP(U$5,NFI,5,0),1,0)*Data_NFI_t[[#This Row],[Plastic Mat]],0)</f>
        <v>0</v>
      </c>
      <c r="AP88" s="709">
        <f>IF(NFI_Expiration=1,IF($A88&lt;VLOOKUP(V$5,NFI,5,0),1,0)*Data_NFI_t[[#This Row],[Adult Clothes]],0)</f>
        <v>0</v>
      </c>
      <c r="AQ88" s="709">
        <f>IF(NFI_Expiration=1,IF($A88&lt;VLOOKUP(W$5,NFI,5,0),1,0)*Data_NFI_t[[#This Row],[Children Clothes]],0)</f>
        <v>0</v>
      </c>
      <c r="AR88" s="709">
        <f>IF(NFI_Expiration=1,IF($A88&lt;VLOOKUP(X$5,NFI,5,0),1,0)*Data_NFI_t[[#This Row],[Sewing Kit]],0)</f>
        <v>0</v>
      </c>
      <c r="AS88" s="709">
        <f>IF(NFI_Expiration=1,IF($A88&lt;VLOOKUP(X$5,NFI,5,0),1,0)*Data_NFI_t[[#This Row],[Solar Lantern]],0)</f>
        <v>0</v>
      </c>
      <c r="AT88" s="105" t="str">
        <f ca="1">IFERROR(OFFSET(Camp_List[P_Code],MATCH(Data_NFI_t[[#This Row],[Camp Name]],Camp_List[Camp Name],0)-1,0,1,1),"")</f>
        <v/>
      </c>
      <c r="AU88" s="412" t="str">
        <f ca="1">IFERROR(OFFSET(Camp_List[Status],MATCH(Data_NFI_t[[#This Row],[Camp Name]],Camp_List[Camp Name],0)-1,0,1,1),"")</f>
        <v/>
      </c>
      <c r="AV88" s="105"/>
      <c r="AY88" s="747"/>
    </row>
    <row r="89" spans="1:51" s="745" customFormat="1" ht="19.5" customHeight="1" x14ac:dyDescent="0.25">
      <c r="A89" s="711">
        <f t="shared" si="3"/>
        <v>15.433333333333334</v>
      </c>
      <c r="B89" s="712">
        <f>YEAR(Data_NFI_t[[#This Row],[Distribution Date]])</f>
        <v>2017</v>
      </c>
      <c r="C89" s="904">
        <v>42971</v>
      </c>
      <c r="D89" s="708" t="s">
        <v>1035</v>
      </c>
      <c r="E89" s="708" t="s">
        <v>1035</v>
      </c>
      <c r="F89" s="708" t="s">
        <v>7</v>
      </c>
      <c r="G89" s="713" t="s">
        <v>17</v>
      </c>
      <c r="H89" s="713" t="s">
        <v>586</v>
      </c>
      <c r="I89" s="205"/>
      <c r="J89" s="886">
        <v>2718</v>
      </c>
      <c r="K89" s="886">
        <v>13798</v>
      </c>
      <c r="L89" s="715"/>
      <c r="M89" s="715">
        <v>2718</v>
      </c>
      <c r="N89" s="716"/>
      <c r="O89" s="716"/>
      <c r="P89" s="716"/>
      <c r="Q89" s="716"/>
      <c r="R89" s="716"/>
      <c r="S89" s="716"/>
      <c r="T89" s="717"/>
      <c r="U89" s="716"/>
      <c r="V89" s="887"/>
      <c r="W89" s="887"/>
      <c r="X89" s="716"/>
      <c r="Y89" s="716"/>
      <c r="Z89" s="716"/>
      <c r="AA89" s="716"/>
      <c r="AB89" s="716"/>
      <c r="AC89" s="716"/>
      <c r="AD89" s="709">
        <f>IF(NFI_Expiration=1,IF($A89&lt;VLOOKUP(I$5,NFI,5,0),1,0)*Data_NFI_t[[#This Row],[Hygiene Kit]],0)</f>
        <v>0</v>
      </c>
      <c r="AE89" s="709">
        <f>IF(NFI_Expiration=1,IF($A89&lt;VLOOKUP(L$5,NFI,5,0),1,0)*Data_NFI_t[[#This Row],[NFI Core Kit]],0)</f>
        <v>0</v>
      </c>
      <c r="AF89" s="710">
        <f>IF(NFI_Expiration=1,IF($A89&lt;VLOOKUP(M$5,NFI,5,0),1,0)*Data_NFI_t[[#This Row],[Sanitary Kit]],0)</f>
        <v>0</v>
      </c>
      <c r="AG89" s="1055">
        <f>IF(NFI_Expiration=1,IF($A89&lt;VLOOKUP(AC$5,NFI,5,0),1,0)*Data_NFI_t[[#This Row],[Rope]],0)</f>
        <v>0</v>
      </c>
      <c r="AH89" s="710">
        <f>IF(NFI_Expiration=1,IF($A89&lt;VLOOKUP(N$5,NFI,5,0),1,0)*Data_NFI_t[[#This Row],[Mosquito net]],0)</f>
        <v>0</v>
      </c>
      <c r="AI89" s="710">
        <f>IF(NFI_Expiration=1,IF($A89&lt;VLOOKUP(O$5,NFI,5,0),1,0)*Data_NFI_t[[#This Row],[Tarpaulin]],0)</f>
        <v>0</v>
      </c>
      <c r="AJ89" s="710">
        <f>IF(NFI_Expiration=1,IF($A89&lt;VLOOKUP(P$5,NFI,5,0),1,0)*Data_NFI_t[[#This Row],[Blanket]],0)</f>
        <v>0</v>
      </c>
      <c r="AK89" s="710">
        <f>IF(NFI_Expiration=1,IF($A89&lt;VLOOKUP(Q$5,NFI,5,0),1,0)*Data_NFI_t[[#This Row],[Kitchen Set]],0)</f>
        <v>0</v>
      </c>
      <c r="AL89" s="710">
        <f>IF(NFI_Expiration=1,IF($A89&lt;VLOOKUP(R$5,NFI,5,0),1,0)*Data_NFI_t[[#This Row],[Complementary Kit]],0)</f>
        <v>0</v>
      </c>
      <c r="AM89" s="710">
        <f>IF(NFI_Expiration=1,IF($A89&lt;VLOOKUP(S$5,NFI,5,0),1,0)*Data_NFI_t[[#This Row],[Plastic Bucket]],0)</f>
        <v>0</v>
      </c>
      <c r="AN89" s="709">
        <f>IF(NFI_Expiration=1,IF($A89&lt;VLOOKUP(T$5,NFI,5,0),1,0)*Data_NFI_t[[#This Row],[Jerry Can]],0)</f>
        <v>0</v>
      </c>
      <c r="AO89" s="709">
        <f>IF(NFI_Expiration=1,IF($A89&lt;VLOOKUP(U$5,NFI,5,0),1,0)*Data_NFI_t[[#This Row],[Plastic Mat]],0)</f>
        <v>0</v>
      </c>
      <c r="AP89" s="709">
        <f>IF(NFI_Expiration=1,IF($A89&lt;VLOOKUP(V$5,NFI,5,0),1,0)*Data_NFI_t[[#This Row],[Adult Clothes]],0)</f>
        <v>0</v>
      </c>
      <c r="AQ89" s="709">
        <f>IF(NFI_Expiration=1,IF($A89&lt;VLOOKUP(W$5,NFI,5,0),1,0)*Data_NFI_t[[#This Row],[Children Clothes]],0)</f>
        <v>0</v>
      </c>
      <c r="AR89" s="709">
        <f>IF(NFI_Expiration=1,IF($A89&lt;VLOOKUP(X$5,NFI,5,0),1,0)*Data_NFI_t[[#This Row],[Sewing Kit]],0)</f>
        <v>0</v>
      </c>
      <c r="AS89" s="709">
        <f>IF(NFI_Expiration=1,IF($A89&lt;VLOOKUP(X$5,NFI,5,0),1,0)*Data_NFI_t[[#This Row],[Solar Lantern]],0)</f>
        <v>0</v>
      </c>
      <c r="AT89" s="105" t="str">
        <f ca="1">IFERROR(OFFSET(Camp_List[P_Code],MATCH(Data_NFI_t[[#This Row],[Camp Name]],Camp_List[Camp Name],0)-1,0,1,1),"")</f>
        <v>MMR012CMP115</v>
      </c>
      <c r="AU89" s="755" t="str">
        <f ca="1">IFERROR(OFFSET(Camp_List[Status],MATCH(Data_NFI_t[[#This Row],[Camp Name]],Camp_List[Camp Name],0)-1,0,1,1),"")</f>
        <v>Open</v>
      </c>
      <c r="AV89" s="754"/>
      <c r="AY89" s="747"/>
    </row>
    <row r="90" spans="1:51" s="745" customFormat="1" ht="19.5" customHeight="1" x14ac:dyDescent="0.25">
      <c r="A90" s="711">
        <f t="shared" si="3"/>
        <v>15.433333333333334</v>
      </c>
      <c r="B90" s="712">
        <f>YEAR(Data_NFI_t[[#This Row],[Distribution Date]])</f>
        <v>2017</v>
      </c>
      <c r="C90" s="904">
        <v>42971</v>
      </c>
      <c r="D90" s="708" t="s">
        <v>1035</v>
      </c>
      <c r="E90" s="708" t="s">
        <v>1035</v>
      </c>
      <c r="F90" s="708" t="s">
        <v>7</v>
      </c>
      <c r="G90" s="713" t="s">
        <v>17</v>
      </c>
      <c r="H90" s="713" t="s">
        <v>580</v>
      </c>
      <c r="I90" s="205"/>
      <c r="J90" s="886">
        <v>656</v>
      </c>
      <c r="K90" s="886">
        <v>3492</v>
      </c>
      <c r="L90" s="715"/>
      <c r="M90" s="715">
        <v>656</v>
      </c>
      <c r="N90" s="716"/>
      <c r="O90" s="716"/>
      <c r="P90" s="716"/>
      <c r="Q90" s="716"/>
      <c r="R90" s="716"/>
      <c r="S90" s="716"/>
      <c r="T90" s="717"/>
      <c r="U90" s="716"/>
      <c r="V90" s="887"/>
      <c r="W90" s="887"/>
      <c r="X90" s="716"/>
      <c r="Y90" s="716"/>
      <c r="Z90" s="716"/>
      <c r="AA90" s="716"/>
      <c r="AB90" s="716"/>
      <c r="AC90" s="716"/>
      <c r="AD90" s="709">
        <f>IF(NFI_Expiration=1,IF($A90&lt;VLOOKUP(I$5,NFI,5,0),1,0)*Data_NFI_t[[#This Row],[Hygiene Kit]],0)</f>
        <v>0</v>
      </c>
      <c r="AE90" s="709">
        <f>IF(NFI_Expiration=1,IF($A90&lt;VLOOKUP(L$5,NFI,5,0),1,0)*Data_NFI_t[[#This Row],[NFI Core Kit]],0)</f>
        <v>0</v>
      </c>
      <c r="AF90" s="710">
        <f>IF(NFI_Expiration=1,IF($A90&lt;VLOOKUP(M$5,NFI,5,0),1,0)*Data_NFI_t[[#This Row],[Sanitary Kit]],0)</f>
        <v>0</v>
      </c>
      <c r="AG90" s="1055">
        <f>IF(NFI_Expiration=1,IF($A90&lt;VLOOKUP(AC$5,NFI,5,0),1,0)*Data_NFI_t[[#This Row],[Rope]],0)</f>
        <v>0</v>
      </c>
      <c r="AH90" s="710">
        <f>IF(NFI_Expiration=1,IF($A90&lt;VLOOKUP(N$5,NFI,5,0),1,0)*Data_NFI_t[[#This Row],[Mosquito net]],0)</f>
        <v>0</v>
      </c>
      <c r="AI90" s="710">
        <f>IF(NFI_Expiration=1,IF($A90&lt;VLOOKUP(O$5,NFI,5,0),1,0)*Data_NFI_t[[#This Row],[Tarpaulin]],0)</f>
        <v>0</v>
      </c>
      <c r="AJ90" s="710">
        <f>IF(NFI_Expiration=1,IF($A90&lt;VLOOKUP(P$5,NFI,5,0),1,0)*Data_NFI_t[[#This Row],[Blanket]],0)</f>
        <v>0</v>
      </c>
      <c r="AK90" s="710">
        <f>IF(NFI_Expiration=1,IF($A90&lt;VLOOKUP(Q$5,NFI,5,0),1,0)*Data_NFI_t[[#This Row],[Kitchen Set]],0)</f>
        <v>0</v>
      </c>
      <c r="AL90" s="710">
        <f>IF(NFI_Expiration=1,IF($A90&lt;VLOOKUP(R$5,NFI,5,0),1,0)*Data_NFI_t[[#This Row],[Complementary Kit]],0)</f>
        <v>0</v>
      </c>
      <c r="AM90" s="710">
        <f>IF(NFI_Expiration=1,IF($A90&lt;VLOOKUP(S$5,NFI,5,0),1,0)*Data_NFI_t[[#This Row],[Plastic Bucket]],0)</f>
        <v>0</v>
      </c>
      <c r="AN90" s="709">
        <f>IF(NFI_Expiration=1,IF($A90&lt;VLOOKUP(T$5,NFI,5,0),1,0)*Data_NFI_t[[#This Row],[Jerry Can]],0)</f>
        <v>0</v>
      </c>
      <c r="AO90" s="709">
        <f>IF(NFI_Expiration=1,IF($A90&lt;VLOOKUP(U$5,NFI,5,0),1,0)*Data_NFI_t[[#This Row],[Plastic Mat]],0)</f>
        <v>0</v>
      </c>
      <c r="AP90" s="709">
        <f>IF(NFI_Expiration=1,IF($A90&lt;VLOOKUP(V$5,NFI,5,0),1,0)*Data_NFI_t[[#This Row],[Adult Clothes]],0)</f>
        <v>0</v>
      </c>
      <c r="AQ90" s="709">
        <f>IF(NFI_Expiration=1,IF($A90&lt;VLOOKUP(W$5,NFI,5,0),1,0)*Data_NFI_t[[#This Row],[Children Clothes]],0)</f>
        <v>0</v>
      </c>
      <c r="AR90" s="709">
        <f>IF(NFI_Expiration=1,IF($A90&lt;VLOOKUP(X$5,NFI,5,0),1,0)*Data_NFI_t[[#This Row],[Sewing Kit]],0)</f>
        <v>0</v>
      </c>
      <c r="AS90" s="709">
        <f>IF(NFI_Expiration=1,IF($A90&lt;VLOOKUP(X$5,NFI,5,0),1,0)*Data_NFI_t[[#This Row],[Solar Lantern]],0)</f>
        <v>0</v>
      </c>
      <c r="AT90" s="105" t="str">
        <f ca="1">IFERROR(OFFSET(Camp_List[P_Code],MATCH(Data_NFI_t[[#This Row],[Camp Name]],Camp_List[Camp Name],0)-1,0,1,1),"")</f>
        <v>MMR012CMP092</v>
      </c>
      <c r="AU90" s="412" t="str">
        <f ca="1">IFERROR(OFFSET(Camp_List[Status],MATCH(Data_NFI_t[[#This Row],[Camp Name]],Camp_List[Camp Name],0)-1,0,1,1),"")</f>
        <v>Open</v>
      </c>
      <c r="AV90" s="105"/>
      <c r="AY90" s="747"/>
    </row>
    <row r="91" spans="1:51" s="745" customFormat="1" ht="19.5" customHeight="1" x14ac:dyDescent="0.25">
      <c r="A91" s="711">
        <f t="shared" si="3"/>
        <v>15.433333333333334</v>
      </c>
      <c r="B91" s="712">
        <f>YEAR(Data_NFI_t[[#This Row],[Distribution Date]])</f>
        <v>2017</v>
      </c>
      <c r="C91" s="904">
        <v>42971</v>
      </c>
      <c r="D91" s="708" t="s">
        <v>1035</v>
      </c>
      <c r="E91" s="708" t="s">
        <v>1035</v>
      </c>
      <c r="F91" s="708" t="s">
        <v>7</v>
      </c>
      <c r="G91" s="713" t="s">
        <v>17</v>
      </c>
      <c r="H91" s="713" t="s">
        <v>59</v>
      </c>
      <c r="I91" s="205"/>
      <c r="J91" s="886">
        <v>397</v>
      </c>
      <c r="K91" s="886">
        <v>2196</v>
      </c>
      <c r="L91" s="715"/>
      <c r="M91" s="715">
        <v>397</v>
      </c>
      <c r="N91" s="716"/>
      <c r="O91" s="716"/>
      <c r="P91" s="716"/>
      <c r="Q91" s="716"/>
      <c r="R91" s="716"/>
      <c r="S91" s="716"/>
      <c r="T91" s="717"/>
      <c r="U91" s="716"/>
      <c r="V91" s="887"/>
      <c r="W91" s="887"/>
      <c r="X91" s="716"/>
      <c r="Y91" s="716"/>
      <c r="Z91" s="716"/>
      <c r="AA91" s="716"/>
      <c r="AB91" s="716"/>
      <c r="AC91" s="716"/>
      <c r="AD91" s="709">
        <f>IF(NFI_Expiration=1,IF($A91&lt;VLOOKUP(I$5,NFI,5,0),1,0)*Data_NFI_t[[#This Row],[Hygiene Kit]],0)</f>
        <v>0</v>
      </c>
      <c r="AE91" s="709">
        <f>IF(NFI_Expiration=1,IF($A91&lt;VLOOKUP(L$5,NFI,5,0),1,0)*Data_NFI_t[[#This Row],[NFI Core Kit]],0)</f>
        <v>0</v>
      </c>
      <c r="AF91" s="710">
        <f>IF(NFI_Expiration=1,IF($A91&lt;VLOOKUP(M$5,NFI,5,0),1,0)*Data_NFI_t[[#This Row],[Sanitary Kit]],0)</f>
        <v>0</v>
      </c>
      <c r="AG91" s="1055">
        <f>IF(NFI_Expiration=1,IF($A91&lt;VLOOKUP(AC$5,NFI,5,0),1,0)*Data_NFI_t[[#This Row],[Rope]],0)</f>
        <v>0</v>
      </c>
      <c r="AH91" s="710">
        <f>IF(NFI_Expiration=1,IF($A91&lt;VLOOKUP(N$5,NFI,5,0),1,0)*Data_NFI_t[[#This Row],[Mosquito net]],0)</f>
        <v>0</v>
      </c>
      <c r="AI91" s="710">
        <f>IF(NFI_Expiration=1,IF($A91&lt;VLOOKUP(O$5,NFI,5,0),1,0)*Data_NFI_t[[#This Row],[Tarpaulin]],0)</f>
        <v>0</v>
      </c>
      <c r="AJ91" s="710">
        <f>IF(NFI_Expiration=1,IF($A91&lt;VLOOKUP(P$5,NFI,5,0),1,0)*Data_NFI_t[[#This Row],[Blanket]],0)</f>
        <v>0</v>
      </c>
      <c r="AK91" s="710">
        <f>IF(NFI_Expiration=1,IF($A91&lt;VLOOKUP(Q$5,NFI,5,0),1,0)*Data_NFI_t[[#This Row],[Kitchen Set]],0)</f>
        <v>0</v>
      </c>
      <c r="AL91" s="710">
        <f>IF(NFI_Expiration=1,IF($A91&lt;VLOOKUP(R$5,NFI,5,0),1,0)*Data_NFI_t[[#This Row],[Complementary Kit]],0)</f>
        <v>0</v>
      </c>
      <c r="AM91" s="710">
        <f>IF(NFI_Expiration=1,IF($A91&lt;VLOOKUP(S$5,NFI,5,0),1,0)*Data_NFI_t[[#This Row],[Plastic Bucket]],0)</f>
        <v>0</v>
      </c>
      <c r="AN91" s="709">
        <f>IF(NFI_Expiration=1,IF($A91&lt;VLOOKUP(T$5,NFI,5,0),1,0)*Data_NFI_t[[#This Row],[Jerry Can]],0)</f>
        <v>0</v>
      </c>
      <c r="AO91" s="709">
        <f>IF(NFI_Expiration=1,IF($A91&lt;VLOOKUP(U$5,NFI,5,0),1,0)*Data_NFI_t[[#This Row],[Plastic Mat]],0)</f>
        <v>0</v>
      </c>
      <c r="AP91" s="709">
        <f>IF(NFI_Expiration=1,IF($A91&lt;VLOOKUP(V$5,NFI,5,0),1,0)*Data_NFI_t[[#This Row],[Adult Clothes]],0)</f>
        <v>0</v>
      </c>
      <c r="AQ91" s="709">
        <f>IF(NFI_Expiration=1,IF($A91&lt;VLOOKUP(W$5,NFI,5,0),1,0)*Data_NFI_t[[#This Row],[Children Clothes]],0)</f>
        <v>0</v>
      </c>
      <c r="AR91" s="709">
        <f>IF(NFI_Expiration=1,IF($A91&lt;VLOOKUP(X$5,NFI,5,0),1,0)*Data_NFI_t[[#This Row],[Sewing Kit]],0)</f>
        <v>0</v>
      </c>
      <c r="AS91" s="709">
        <f>IF(NFI_Expiration=1,IF($A91&lt;VLOOKUP(X$5,NFI,5,0),1,0)*Data_NFI_t[[#This Row],[Solar Lantern]],0)</f>
        <v>0</v>
      </c>
      <c r="AT91" s="105" t="str">
        <f ca="1">IFERROR(OFFSET(Camp_List[P_Code],MATCH(Data_NFI_t[[#This Row],[Camp Name]],Camp_List[Camp Name],0)-1,0,1,1),"")</f>
        <v>MMR012CMP039</v>
      </c>
      <c r="AU91" s="412" t="str">
        <f ca="1">IFERROR(OFFSET(Camp_List[Status],MATCH(Data_NFI_t[[#This Row],[Camp Name]],Camp_List[Camp Name],0)-1,0,1,1),"")</f>
        <v>Open</v>
      </c>
      <c r="AV91" s="105"/>
      <c r="AY91" s="747"/>
    </row>
    <row r="92" spans="1:51" s="745" customFormat="1" ht="19.5" customHeight="1" x14ac:dyDescent="0.25">
      <c r="A92" s="711">
        <f t="shared" si="3"/>
        <v>15.5</v>
      </c>
      <c r="B92" s="712">
        <f>YEAR(Data_NFI_t[[#This Row],[Distribution Date]])</f>
        <v>2017</v>
      </c>
      <c r="C92" s="904">
        <v>42969</v>
      </c>
      <c r="D92" s="708" t="s">
        <v>1016</v>
      </c>
      <c r="E92" s="708" t="s">
        <v>1016</v>
      </c>
      <c r="F92" s="708" t="s">
        <v>7</v>
      </c>
      <c r="G92" s="713" t="s">
        <v>17</v>
      </c>
      <c r="H92" s="713" t="s">
        <v>66</v>
      </c>
      <c r="I92" s="205"/>
      <c r="J92" s="886">
        <v>1137</v>
      </c>
      <c r="K92" s="886">
        <v>6253</v>
      </c>
      <c r="L92" s="715"/>
      <c r="M92" s="715">
        <v>1137</v>
      </c>
      <c r="N92" s="716"/>
      <c r="O92" s="716"/>
      <c r="P92" s="716"/>
      <c r="Q92" s="716"/>
      <c r="R92" s="716"/>
      <c r="S92" s="716"/>
      <c r="T92" s="717"/>
      <c r="U92" s="716"/>
      <c r="V92" s="887"/>
      <c r="W92" s="887"/>
      <c r="X92" s="716"/>
      <c r="Y92" s="716"/>
      <c r="Z92" s="716"/>
      <c r="AA92" s="716"/>
      <c r="AB92" s="716"/>
      <c r="AC92" s="716"/>
      <c r="AD92" s="709">
        <f>IF(NFI_Expiration=1,IF($A92&lt;VLOOKUP(I$5,NFI,5,0),1,0)*Data_NFI_t[[#This Row],[Hygiene Kit]],0)</f>
        <v>0</v>
      </c>
      <c r="AE92" s="709">
        <f>IF(NFI_Expiration=1,IF($A92&lt;VLOOKUP(L$5,NFI,5,0),1,0)*Data_NFI_t[[#This Row],[NFI Core Kit]],0)</f>
        <v>0</v>
      </c>
      <c r="AF92" s="710">
        <f>IF(NFI_Expiration=1,IF($A92&lt;VLOOKUP(M$5,NFI,5,0),1,0)*Data_NFI_t[[#This Row],[Sanitary Kit]],0)</f>
        <v>0</v>
      </c>
      <c r="AG92" s="1055">
        <f>IF(NFI_Expiration=1,IF($A92&lt;VLOOKUP(AC$5,NFI,5,0),1,0)*Data_NFI_t[[#This Row],[Rope]],0)</f>
        <v>0</v>
      </c>
      <c r="AH92" s="710">
        <f>IF(NFI_Expiration=1,IF($A92&lt;VLOOKUP(N$5,NFI,5,0),1,0)*Data_NFI_t[[#This Row],[Mosquito net]],0)</f>
        <v>0</v>
      </c>
      <c r="AI92" s="710">
        <f>IF(NFI_Expiration=1,IF($A92&lt;VLOOKUP(O$5,NFI,5,0),1,0)*Data_NFI_t[[#This Row],[Tarpaulin]],0)</f>
        <v>0</v>
      </c>
      <c r="AJ92" s="710">
        <f>IF(NFI_Expiration=1,IF($A92&lt;VLOOKUP(P$5,NFI,5,0),1,0)*Data_NFI_t[[#This Row],[Blanket]],0)</f>
        <v>0</v>
      </c>
      <c r="AK92" s="710">
        <f>IF(NFI_Expiration=1,IF($A92&lt;VLOOKUP(Q$5,NFI,5,0),1,0)*Data_NFI_t[[#This Row],[Kitchen Set]],0)</f>
        <v>0</v>
      </c>
      <c r="AL92" s="710">
        <f>IF(NFI_Expiration=1,IF($A92&lt;VLOOKUP(R$5,NFI,5,0),1,0)*Data_NFI_t[[#This Row],[Complementary Kit]],0)</f>
        <v>0</v>
      </c>
      <c r="AM92" s="710">
        <f>IF(NFI_Expiration=1,IF($A92&lt;VLOOKUP(S$5,NFI,5,0),1,0)*Data_NFI_t[[#This Row],[Plastic Bucket]],0)</f>
        <v>0</v>
      </c>
      <c r="AN92" s="709">
        <f>IF(NFI_Expiration=1,IF($A92&lt;VLOOKUP(T$5,NFI,5,0),1,0)*Data_NFI_t[[#This Row],[Jerry Can]],0)</f>
        <v>0</v>
      </c>
      <c r="AO92" s="709">
        <f>IF(NFI_Expiration=1,IF($A92&lt;VLOOKUP(U$5,NFI,5,0),1,0)*Data_NFI_t[[#This Row],[Plastic Mat]],0)</f>
        <v>0</v>
      </c>
      <c r="AP92" s="709">
        <f>IF(NFI_Expiration=1,IF($A92&lt;VLOOKUP(V$5,NFI,5,0),1,0)*Data_NFI_t[[#This Row],[Adult Clothes]],0)</f>
        <v>0</v>
      </c>
      <c r="AQ92" s="709">
        <f>IF(NFI_Expiration=1,IF($A92&lt;VLOOKUP(W$5,NFI,5,0),1,0)*Data_NFI_t[[#This Row],[Children Clothes]],0)</f>
        <v>0</v>
      </c>
      <c r="AR92" s="709">
        <f>IF(NFI_Expiration=1,IF($A92&lt;VLOOKUP(X$5,NFI,5,0),1,0)*Data_NFI_t[[#This Row],[Sewing Kit]],0)</f>
        <v>0</v>
      </c>
      <c r="AS92" s="709">
        <f>IF(NFI_Expiration=1,IF($A92&lt;VLOOKUP(X$5,NFI,5,0),1,0)*Data_NFI_t[[#This Row],[Solar Lantern]],0)</f>
        <v>0</v>
      </c>
      <c r="AT92" s="105" t="str">
        <f ca="1">IFERROR(OFFSET(Camp_List[P_Code],MATCH(Data_NFI_t[[#This Row],[Camp Name]],Camp_List[Camp Name],0)-1,0,1,1),"")</f>
        <v>MMR012CMP046</v>
      </c>
      <c r="AU92" s="412" t="str">
        <f ca="1">IFERROR(OFFSET(Camp_List[Status],MATCH(Data_NFI_t[[#This Row],[Camp Name]],Camp_List[Camp Name],0)-1,0,1,1),"")</f>
        <v>Open</v>
      </c>
      <c r="AV92" s="105"/>
      <c r="AY92" s="747"/>
    </row>
    <row r="93" spans="1:51" s="745" customFormat="1" ht="18.75" customHeight="1" x14ac:dyDescent="0.25">
      <c r="A93" s="711">
        <f t="shared" si="3"/>
        <v>15.9</v>
      </c>
      <c r="B93" s="712">
        <f>YEAR(Data_NFI_t[[#This Row],[Distribution Date]])</f>
        <v>2017</v>
      </c>
      <c r="C93" s="904">
        <v>42957</v>
      </c>
      <c r="D93" s="708" t="s">
        <v>270</v>
      </c>
      <c r="E93" s="708" t="s">
        <v>273</v>
      </c>
      <c r="F93" s="708" t="s">
        <v>7</v>
      </c>
      <c r="G93" s="713" t="s">
        <v>13</v>
      </c>
      <c r="H93" s="713" t="s">
        <v>41</v>
      </c>
      <c r="I93" s="714"/>
      <c r="J93" s="799">
        <v>630</v>
      </c>
      <c r="K93" s="799">
        <f>J93*5.5</f>
        <v>3465</v>
      </c>
      <c r="L93" s="715"/>
      <c r="M93" s="715"/>
      <c r="N93" s="716">
        <v>630</v>
      </c>
      <c r="O93" s="716">
        <v>630</v>
      </c>
      <c r="P93" s="716"/>
      <c r="Q93" s="716">
        <v>630</v>
      </c>
      <c r="R93" s="716"/>
      <c r="S93" s="716"/>
      <c r="T93" s="717">
        <v>630</v>
      </c>
      <c r="U93" s="716">
        <v>1890</v>
      </c>
      <c r="V93" s="716"/>
      <c r="W93" s="716"/>
      <c r="X93" s="716"/>
      <c r="Y93" s="716"/>
      <c r="Z93" s="716"/>
      <c r="AA93" s="716"/>
      <c r="AB93" s="716"/>
      <c r="AC93" s="716"/>
      <c r="AD93" s="709">
        <f>IF(NFI_Expiration=1,IF($A93&lt;VLOOKUP(I$5,NFI,5,0),1,0)*Data_NFI_t[[#This Row],[Hygiene Kit]],0)</f>
        <v>0</v>
      </c>
      <c r="AE93" s="709">
        <f>IF(NFI_Expiration=1,IF($A93&lt;VLOOKUP(L$5,NFI,5,0),1,0)*Data_NFI_t[[#This Row],[NFI Core Kit]],0)</f>
        <v>0</v>
      </c>
      <c r="AF93" s="710">
        <f>IF(NFI_Expiration=1,IF($A93&lt;VLOOKUP(M$5,NFI,5,0),1,0)*Data_NFI_t[[#This Row],[Sanitary Kit]],0)</f>
        <v>0</v>
      </c>
      <c r="AG93" s="1055">
        <f>IF(NFI_Expiration=1,IF($A93&lt;VLOOKUP(AC$5,NFI,5,0),1,0)*Data_NFI_t[[#This Row],[Rope]],0)</f>
        <v>0</v>
      </c>
      <c r="AH93" s="710">
        <f>IF(NFI_Expiration=1,IF($A93&lt;VLOOKUP(N$5,NFI,5,0),1,0)*Data_NFI_t[[#This Row],[Mosquito net]],0)</f>
        <v>0</v>
      </c>
      <c r="AI93" s="710">
        <f>IF(NFI_Expiration=1,IF($A93&lt;VLOOKUP(O$5,NFI,5,0),1,0)*Data_NFI_t[[#This Row],[Tarpaulin]],0)</f>
        <v>0</v>
      </c>
      <c r="AJ93" s="710">
        <f>IF(NFI_Expiration=1,IF($A93&lt;VLOOKUP(P$5,NFI,5,0),1,0)*Data_NFI_t[[#This Row],[Blanket]],0)</f>
        <v>0</v>
      </c>
      <c r="AK93" s="710">
        <f>IF(NFI_Expiration=1,IF($A93&lt;VLOOKUP(Q$5,NFI,5,0),1,0)*Data_NFI_t[[#This Row],[Kitchen Set]],0)</f>
        <v>0</v>
      </c>
      <c r="AL93" s="710">
        <f>IF(NFI_Expiration=1,IF($A93&lt;VLOOKUP(R$5,NFI,5,0),1,0)*Data_NFI_t[[#This Row],[Complementary Kit]],0)</f>
        <v>0</v>
      </c>
      <c r="AM93" s="710">
        <f>IF(NFI_Expiration=1,IF($A93&lt;VLOOKUP(S$5,NFI,5,0),1,0)*Data_NFI_t[[#This Row],[Plastic Bucket]],0)</f>
        <v>0</v>
      </c>
      <c r="AN93" s="709">
        <f>IF(NFI_Expiration=1,IF($A93&lt;VLOOKUP(T$5,NFI,5,0),1,0)*Data_NFI_t[[#This Row],[Jerry Can]],0)</f>
        <v>0</v>
      </c>
      <c r="AO93" s="709">
        <f>IF(NFI_Expiration=1,IF($A93&lt;VLOOKUP(U$5,NFI,5,0),1,0)*Data_NFI_t[[#This Row],[Plastic Mat]],0)</f>
        <v>0</v>
      </c>
      <c r="AP93" s="709">
        <f>IF(NFI_Expiration=1,IF($A93&lt;VLOOKUP(V$5,NFI,5,0),1,0)*Data_NFI_t[[#This Row],[Adult Clothes]],0)</f>
        <v>0</v>
      </c>
      <c r="AQ93" s="709">
        <f>IF(NFI_Expiration=1,IF($A93&lt;VLOOKUP(W$5,NFI,5,0),1,0)*Data_NFI_t[[#This Row],[Children Clothes]],0)</f>
        <v>0</v>
      </c>
      <c r="AR93" s="709">
        <f>IF(NFI_Expiration=1,IF($A93&lt;VLOOKUP(X$5,NFI,5,0),1,0)*Data_NFI_t[[#This Row],[Sewing Kit]],0)</f>
        <v>0</v>
      </c>
      <c r="AS93" s="709">
        <f>IF(NFI_Expiration=1,IF($A93&lt;VLOOKUP(X$5,NFI,5,0),1,0)*Data_NFI_t[[#This Row],[Solar Lantern]],0)</f>
        <v>0</v>
      </c>
      <c r="AT93" s="105" t="str">
        <f ca="1">IFERROR(OFFSET(Camp_List[P_Code],MATCH(Data_NFI_t[[#This Row],[Camp Name]],Camp_List[Camp Name],0)-1,0,1,1),"")</f>
        <v>MMR012CMP019</v>
      </c>
      <c r="AU93" s="412" t="str">
        <f ca="1">IFERROR(OFFSET(Camp_List[Status],MATCH(Data_NFI_t[[#This Row],[Camp Name]],Camp_List[Camp Name],0)-1,0,1,1),"")</f>
        <v>Open</v>
      </c>
      <c r="AV93" s="105"/>
      <c r="AY93" s="747"/>
    </row>
    <row r="94" spans="1:51" s="745" customFormat="1" ht="18.75" customHeight="1" x14ac:dyDescent="0.25">
      <c r="A94" s="711">
        <f t="shared" si="3"/>
        <v>16.2</v>
      </c>
      <c r="B94" s="712">
        <f>YEAR(Data_NFI_t[[#This Row],[Distribution Date]])</f>
        <v>2017</v>
      </c>
      <c r="C94" s="904">
        <v>42948</v>
      </c>
      <c r="D94" s="889" t="s">
        <v>273</v>
      </c>
      <c r="E94" s="889" t="s">
        <v>273</v>
      </c>
      <c r="F94" s="889" t="s">
        <v>7</v>
      </c>
      <c r="G94" s="713" t="s">
        <v>17</v>
      </c>
      <c r="H94" s="713" t="s">
        <v>585</v>
      </c>
      <c r="I94" s="714"/>
      <c r="J94" s="799">
        <v>80</v>
      </c>
      <c r="K94" s="799">
        <v>439</v>
      </c>
      <c r="L94" s="715"/>
      <c r="M94" s="715"/>
      <c r="N94" s="716"/>
      <c r="O94" s="716"/>
      <c r="P94" s="716"/>
      <c r="Q94" s="716"/>
      <c r="R94" s="716"/>
      <c r="S94" s="716"/>
      <c r="T94" s="717"/>
      <c r="U94" s="716"/>
      <c r="V94" s="716">
        <v>560</v>
      </c>
      <c r="W94" s="716"/>
      <c r="X94" s="716"/>
      <c r="Y94" s="716"/>
      <c r="Z94" s="716">
        <v>240</v>
      </c>
      <c r="AA94" s="716">
        <v>80</v>
      </c>
      <c r="AB94" s="716"/>
      <c r="AC94" s="716"/>
      <c r="AD94" s="709">
        <f>IF(NFI_Expiration=1,IF($A94&lt;VLOOKUP(I$5,NFI,5,0),1,0)*Data_NFI_t[[#This Row],[Hygiene Kit]],0)</f>
        <v>0</v>
      </c>
      <c r="AE94" s="709">
        <f>IF(NFI_Expiration=1,IF($A94&lt;VLOOKUP(L$5,NFI,5,0),1,0)*Data_NFI_t[[#This Row],[NFI Core Kit]],0)</f>
        <v>0</v>
      </c>
      <c r="AF94" s="710">
        <f>IF(NFI_Expiration=1,IF($A94&lt;VLOOKUP(M$5,NFI,5,0),1,0)*Data_NFI_t[[#This Row],[Sanitary Kit]],0)</f>
        <v>0</v>
      </c>
      <c r="AG94" s="1055">
        <f>IF(NFI_Expiration=1,IF($A94&lt;VLOOKUP(AC$5,NFI,5,0),1,0)*Data_NFI_t[[#This Row],[Rope]],0)</f>
        <v>0</v>
      </c>
      <c r="AH94" s="710">
        <f>IF(NFI_Expiration=1,IF($A94&lt;VLOOKUP(N$5,NFI,5,0),1,0)*Data_NFI_t[[#This Row],[Mosquito net]],0)</f>
        <v>0</v>
      </c>
      <c r="AI94" s="710">
        <f>IF(NFI_Expiration=1,IF($A94&lt;VLOOKUP(O$5,NFI,5,0),1,0)*Data_NFI_t[[#This Row],[Tarpaulin]],0)</f>
        <v>0</v>
      </c>
      <c r="AJ94" s="710">
        <f>IF(NFI_Expiration=1,IF($A94&lt;VLOOKUP(P$5,NFI,5,0),1,0)*Data_NFI_t[[#This Row],[Blanket]],0)</f>
        <v>0</v>
      </c>
      <c r="AK94" s="710">
        <f>IF(NFI_Expiration=1,IF($A94&lt;VLOOKUP(Q$5,NFI,5,0),1,0)*Data_NFI_t[[#This Row],[Kitchen Set]],0)</f>
        <v>0</v>
      </c>
      <c r="AL94" s="710">
        <f>IF(NFI_Expiration=1,IF($A94&lt;VLOOKUP(R$5,NFI,5,0),1,0)*Data_NFI_t[[#This Row],[Complementary Kit]],0)</f>
        <v>0</v>
      </c>
      <c r="AM94" s="710">
        <f>IF(NFI_Expiration=1,IF($A94&lt;VLOOKUP(S$5,NFI,5,0),1,0)*Data_NFI_t[[#This Row],[Plastic Bucket]],0)</f>
        <v>0</v>
      </c>
      <c r="AN94" s="709">
        <f>IF(NFI_Expiration=1,IF($A94&lt;VLOOKUP(T$5,NFI,5,0),1,0)*Data_NFI_t[[#This Row],[Jerry Can]],0)</f>
        <v>0</v>
      </c>
      <c r="AO94" s="709">
        <f>IF(NFI_Expiration=1,IF($A94&lt;VLOOKUP(U$5,NFI,5,0),1,0)*Data_NFI_t[[#This Row],[Plastic Mat]],0)</f>
        <v>0</v>
      </c>
      <c r="AP94" s="709">
        <f>IF(NFI_Expiration=1,IF($A94&lt;VLOOKUP(V$5,NFI,5,0),1,0)*Data_NFI_t[[#This Row],[Adult Clothes]],0)</f>
        <v>0</v>
      </c>
      <c r="AQ94" s="709">
        <f>IF(NFI_Expiration=1,IF($A94&lt;VLOOKUP(W$5,NFI,5,0),1,0)*Data_NFI_t[[#This Row],[Children Clothes]],0)</f>
        <v>0</v>
      </c>
      <c r="AR94" s="709">
        <f>IF(NFI_Expiration=1,IF($A94&lt;VLOOKUP(X$5,NFI,5,0),1,0)*Data_NFI_t[[#This Row],[Sewing Kit]],0)</f>
        <v>0</v>
      </c>
      <c r="AS94" s="709">
        <f>IF(NFI_Expiration=1,IF($A94&lt;VLOOKUP(X$5,NFI,5,0),1,0)*Data_NFI_t[[#This Row],[Solar Lantern]],0)</f>
        <v>0</v>
      </c>
      <c r="AT94" s="105" t="str">
        <f ca="1">IFERROR(OFFSET(Camp_List[P_Code],MATCH(Data_NFI_t[[#This Row],[Camp Name]],Camp_List[Camp Name],0)-1,0,1,1),"")</f>
        <v>MMR012CMP098</v>
      </c>
      <c r="AU94" s="412" t="str">
        <f ca="1">IFERROR(OFFSET(Camp_List[Status],MATCH(Data_NFI_t[[#This Row],[Camp Name]],Camp_List[Camp Name],0)-1,0,1,1),"")</f>
        <v>Open</v>
      </c>
      <c r="AV94" s="105"/>
      <c r="AY94" s="747"/>
    </row>
    <row r="95" spans="1:51" s="745" customFormat="1" ht="18.75" customHeight="1" x14ac:dyDescent="0.25">
      <c r="A95" s="711">
        <f t="shared" ref="A95:A158" si="4">IF(ISBLANK(C95),"",(Report_Date-C95)/30)</f>
        <v>16.2</v>
      </c>
      <c r="B95" s="712">
        <f>YEAR(Data_NFI_t[[#This Row],[Distribution Date]])</f>
        <v>2017</v>
      </c>
      <c r="C95" s="904">
        <v>42948</v>
      </c>
      <c r="D95" s="889" t="s">
        <v>270</v>
      </c>
      <c r="E95" s="889" t="s">
        <v>273</v>
      </c>
      <c r="F95" s="889" t="s">
        <v>7</v>
      </c>
      <c r="G95" s="713" t="s">
        <v>17</v>
      </c>
      <c r="H95" s="713" t="s">
        <v>585</v>
      </c>
      <c r="I95" s="714"/>
      <c r="J95" s="799">
        <v>80</v>
      </c>
      <c r="K95" s="799">
        <v>439</v>
      </c>
      <c r="L95" s="715"/>
      <c r="M95" s="715"/>
      <c r="N95" s="716"/>
      <c r="O95" s="716">
        <v>80</v>
      </c>
      <c r="P95" s="716">
        <v>160</v>
      </c>
      <c r="Q95" s="716">
        <v>80</v>
      </c>
      <c r="R95" s="716"/>
      <c r="S95" s="716"/>
      <c r="T95" s="717"/>
      <c r="U95" s="716">
        <v>400</v>
      </c>
      <c r="V95" s="716"/>
      <c r="W95" s="716"/>
      <c r="X95" s="716"/>
      <c r="Y95" s="716"/>
      <c r="Z95" s="716"/>
      <c r="AA95" s="716"/>
      <c r="AB95" s="716"/>
      <c r="AC95" s="716"/>
      <c r="AD95" s="709">
        <f>IF(NFI_Expiration=1,IF($A95&lt;VLOOKUP(I$5,NFI,5,0),1,0)*Data_NFI_t[[#This Row],[Hygiene Kit]],0)</f>
        <v>0</v>
      </c>
      <c r="AE95" s="709">
        <f>IF(NFI_Expiration=1,IF($A95&lt;VLOOKUP(L$5,NFI,5,0),1,0)*Data_NFI_t[[#This Row],[NFI Core Kit]],0)</f>
        <v>0</v>
      </c>
      <c r="AF95" s="710">
        <f>IF(NFI_Expiration=1,IF($A95&lt;VLOOKUP(M$5,NFI,5,0),1,0)*Data_NFI_t[[#This Row],[Sanitary Kit]],0)</f>
        <v>0</v>
      </c>
      <c r="AG95" s="1055">
        <f>IF(NFI_Expiration=1,IF($A95&lt;VLOOKUP(AC$5,NFI,5,0),1,0)*Data_NFI_t[[#This Row],[Rope]],0)</f>
        <v>0</v>
      </c>
      <c r="AH95" s="710">
        <f>IF(NFI_Expiration=1,IF($A95&lt;VLOOKUP(N$5,NFI,5,0),1,0)*Data_NFI_t[[#This Row],[Mosquito net]],0)</f>
        <v>0</v>
      </c>
      <c r="AI95" s="710">
        <f>IF(NFI_Expiration=1,IF($A95&lt;VLOOKUP(O$5,NFI,5,0),1,0)*Data_NFI_t[[#This Row],[Tarpaulin]],0)</f>
        <v>0</v>
      </c>
      <c r="AJ95" s="710">
        <f>IF(NFI_Expiration=1,IF($A95&lt;VLOOKUP(P$5,NFI,5,0),1,0)*Data_NFI_t[[#This Row],[Blanket]],0)</f>
        <v>0</v>
      </c>
      <c r="AK95" s="710">
        <f>IF(NFI_Expiration=1,IF($A95&lt;VLOOKUP(Q$5,NFI,5,0),1,0)*Data_NFI_t[[#This Row],[Kitchen Set]],0)</f>
        <v>0</v>
      </c>
      <c r="AL95" s="710">
        <f>IF(NFI_Expiration=1,IF($A95&lt;VLOOKUP(R$5,NFI,5,0),1,0)*Data_NFI_t[[#This Row],[Complementary Kit]],0)</f>
        <v>0</v>
      </c>
      <c r="AM95" s="710">
        <f>IF(NFI_Expiration=1,IF($A95&lt;VLOOKUP(S$5,NFI,5,0),1,0)*Data_NFI_t[[#This Row],[Plastic Bucket]],0)</f>
        <v>0</v>
      </c>
      <c r="AN95" s="709">
        <f>IF(NFI_Expiration=1,IF($A95&lt;VLOOKUP(T$5,NFI,5,0),1,0)*Data_NFI_t[[#This Row],[Jerry Can]],0)</f>
        <v>0</v>
      </c>
      <c r="AO95" s="709">
        <f>IF(NFI_Expiration=1,IF($A95&lt;VLOOKUP(U$5,NFI,5,0),1,0)*Data_NFI_t[[#This Row],[Plastic Mat]],0)</f>
        <v>0</v>
      </c>
      <c r="AP95" s="709">
        <f>IF(NFI_Expiration=1,IF($A95&lt;VLOOKUP(V$5,NFI,5,0),1,0)*Data_NFI_t[[#This Row],[Adult Clothes]],0)</f>
        <v>0</v>
      </c>
      <c r="AQ95" s="709">
        <f>IF(NFI_Expiration=1,IF($A95&lt;VLOOKUP(W$5,NFI,5,0),1,0)*Data_NFI_t[[#This Row],[Children Clothes]],0)</f>
        <v>0</v>
      </c>
      <c r="AR95" s="709">
        <f>IF(NFI_Expiration=1,IF($A95&lt;VLOOKUP(X$5,NFI,5,0),1,0)*Data_NFI_t[[#This Row],[Sewing Kit]],0)</f>
        <v>0</v>
      </c>
      <c r="AS95" s="709">
        <f>IF(NFI_Expiration=1,IF($A95&lt;VLOOKUP(X$5,NFI,5,0),1,0)*Data_NFI_t[[#This Row],[Solar Lantern]],0)</f>
        <v>0</v>
      </c>
      <c r="AT95" s="105" t="str">
        <f ca="1">IFERROR(OFFSET(Camp_List[P_Code],MATCH(Data_NFI_t[[#This Row],[Camp Name]],Camp_List[Camp Name],0)-1,0,1,1),"")</f>
        <v>MMR012CMP098</v>
      </c>
      <c r="AU95" s="412" t="str">
        <f ca="1">IFERROR(OFFSET(Camp_List[Status],MATCH(Data_NFI_t[[#This Row],[Camp Name]],Camp_List[Camp Name],0)-1,0,1,1),"")</f>
        <v>Open</v>
      </c>
      <c r="AV95" s="105"/>
      <c r="AY95" s="747"/>
    </row>
    <row r="96" spans="1:51" s="745" customFormat="1" ht="18.75" customHeight="1" x14ac:dyDescent="0.25">
      <c r="A96" s="711">
        <f t="shared" si="4"/>
        <v>16.7</v>
      </c>
      <c r="B96" s="712">
        <f>YEAR(Data_NFI_t[[#This Row],[Distribution Date]])</f>
        <v>2017</v>
      </c>
      <c r="C96" s="904">
        <v>42933</v>
      </c>
      <c r="D96" s="708" t="s">
        <v>270</v>
      </c>
      <c r="E96" s="708" t="s">
        <v>575</v>
      </c>
      <c r="F96" s="708" t="s">
        <v>7</v>
      </c>
      <c r="G96" s="713" t="s">
        <v>17</v>
      </c>
      <c r="H96" s="713" t="s">
        <v>587</v>
      </c>
      <c r="I96" s="714"/>
      <c r="J96" s="800">
        <v>2222</v>
      </c>
      <c r="K96" s="800">
        <v>12221</v>
      </c>
      <c r="L96" s="715"/>
      <c r="M96" s="715"/>
      <c r="N96" s="716">
        <v>4444</v>
      </c>
      <c r="O96" s="716"/>
      <c r="P96" s="716">
        <v>4444</v>
      </c>
      <c r="Q96" s="716">
        <v>2222</v>
      </c>
      <c r="R96" s="716"/>
      <c r="S96" s="716"/>
      <c r="T96" s="717"/>
      <c r="U96" s="716">
        <v>11110</v>
      </c>
      <c r="V96" s="716"/>
      <c r="W96" s="716"/>
      <c r="X96" s="716"/>
      <c r="Y96" s="716"/>
      <c r="Z96" s="716"/>
      <c r="AA96" s="716"/>
      <c r="AB96" s="716"/>
      <c r="AC96" s="716"/>
      <c r="AD96" s="709">
        <f>IF(NFI_Expiration=1,IF($A96&lt;VLOOKUP(I$5,NFI,5,0),1,0)*Data_NFI_t[[#This Row],[Hygiene Kit]],0)</f>
        <v>0</v>
      </c>
      <c r="AE96" s="709">
        <f>IF(NFI_Expiration=1,IF($A96&lt;VLOOKUP(L$5,NFI,5,0),1,0)*Data_NFI_t[[#This Row],[NFI Core Kit]],0)</f>
        <v>0</v>
      </c>
      <c r="AF96" s="710">
        <f>IF(NFI_Expiration=1,IF($A96&lt;VLOOKUP(M$5,NFI,5,0),1,0)*Data_NFI_t[[#This Row],[Sanitary Kit]],0)</f>
        <v>0</v>
      </c>
      <c r="AG96" s="1055">
        <f>IF(NFI_Expiration=1,IF($A96&lt;VLOOKUP(AC$5,NFI,5,0),1,0)*Data_NFI_t[[#This Row],[Rope]],0)</f>
        <v>0</v>
      </c>
      <c r="AH96" s="710">
        <f>IF(NFI_Expiration=1,IF($A96&lt;VLOOKUP(N$5,NFI,5,0),1,0)*Data_NFI_t[[#This Row],[Mosquito net]],0)</f>
        <v>0</v>
      </c>
      <c r="AI96" s="710">
        <f>IF(NFI_Expiration=1,IF($A96&lt;VLOOKUP(O$5,NFI,5,0),1,0)*Data_NFI_t[[#This Row],[Tarpaulin]],0)</f>
        <v>0</v>
      </c>
      <c r="AJ96" s="710">
        <f>IF(NFI_Expiration=1,IF($A96&lt;VLOOKUP(P$5,NFI,5,0),1,0)*Data_NFI_t[[#This Row],[Blanket]],0)</f>
        <v>0</v>
      </c>
      <c r="AK96" s="710">
        <f>IF(NFI_Expiration=1,IF($A96&lt;VLOOKUP(Q$5,NFI,5,0),1,0)*Data_NFI_t[[#This Row],[Kitchen Set]],0)</f>
        <v>0</v>
      </c>
      <c r="AL96" s="710">
        <f>IF(NFI_Expiration=1,IF($A96&lt;VLOOKUP(R$5,NFI,5,0),1,0)*Data_NFI_t[[#This Row],[Complementary Kit]],0)</f>
        <v>0</v>
      </c>
      <c r="AM96" s="710">
        <f>IF(NFI_Expiration=1,IF($A96&lt;VLOOKUP(S$5,NFI,5,0),1,0)*Data_NFI_t[[#This Row],[Plastic Bucket]],0)</f>
        <v>0</v>
      </c>
      <c r="AN96" s="709">
        <f>IF(NFI_Expiration=1,IF($A96&lt;VLOOKUP(T$5,NFI,5,0),1,0)*Data_NFI_t[[#This Row],[Jerry Can]],0)</f>
        <v>0</v>
      </c>
      <c r="AO96" s="709">
        <f>IF(NFI_Expiration=1,IF($A96&lt;VLOOKUP(U$5,NFI,5,0),1,0)*Data_NFI_t[[#This Row],[Plastic Mat]],0)</f>
        <v>0</v>
      </c>
      <c r="AP96" s="709">
        <f>IF(NFI_Expiration=1,IF($A96&lt;VLOOKUP(V$5,NFI,5,0),1,0)*Data_NFI_t[[#This Row],[Adult Clothes]],0)</f>
        <v>0</v>
      </c>
      <c r="AQ96" s="709">
        <f>IF(NFI_Expiration=1,IF($A96&lt;VLOOKUP(W$5,NFI,5,0),1,0)*Data_NFI_t[[#This Row],[Children Clothes]],0)</f>
        <v>0</v>
      </c>
      <c r="AR96" s="709">
        <f>IF(NFI_Expiration=1,IF($A96&lt;VLOOKUP(X$5,NFI,5,0),1,0)*Data_NFI_t[[#This Row],[Sewing Kit]],0)</f>
        <v>0</v>
      </c>
      <c r="AS96" s="709">
        <f>IF(NFI_Expiration=1,IF($A96&lt;VLOOKUP(X$5,NFI,5,0),1,0)*Data_NFI_t[[#This Row],[Solar Lantern]],0)</f>
        <v>0</v>
      </c>
      <c r="AT96" s="105" t="str">
        <f ca="1">IFERROR(OFFSET(Camp_List[P_Code],MATCH(Data_NFI_t[[#This Row],[Camp Name]],Camp_List[Camp Name],0)-1,0,1,1),"")</f>
        <v>MMR012CMP116</v>
      </c>
      <c r="AU96" s="412" t="str">
        <f ca="1">IFERROR(OFFSET(Camp_List[Status],MATCH(Data_NFI_t[[#This Row],[Camp Name]],Camp_List[Camp Name],0)-1,0,1,1),"")</f>
        <v>Open</v>
      </c>
      <c r="AV96" s="105"/>
      <c r="AY96" s="747"/>
    </row>
    <row r="97" spans="1:51" s="745" customFormat="1" ht="18.75" customHeight="1" x14ac:dyDescent="0.25">
      <c r="A97" s="711">
        <f t="shared" si="4"/>
        <v>16.733333333333334</v>
      </c>
      <c r="B97" s="712">
        <f>YEAR(Data_NFI_t[[#This Row],[Distribution Date]])</f>
        <v>2017</v>
      </c>
      <c r="C97" s="904">
        <v>42932</v>
      </c>
      <c r="D97" s="708" t="s">
        <v>520</v>
      </c>
      <c r="E97" s="708" t="s">
        <v>575</v>
      </c>
      <c r="F97" s="708" t="s">
        <v>7</v>
      </c>
      <c r="G97" s="713" t="s">
        <v>13</v>
      </c>
      <c r="H97" s="713" t="s">
        <v>982</v>
      </c>
      <c r="I97" s="714"/>
      <c r="J97" s="800">
        <v>856</v>
      </c>
      <c r="K97" s="800">
        <v>4708</v>
      </c>
      <c r="L97" s="715"/>
      <c r="M97" s="715"/>
      <c r="N97" s="716"/>
      <c r="O97" s="716">
        <v>856</v>
      </c>
      <c r="P97" s="716"/>
      <c r="Q97" s="716"/>
      <c r="R97" s="716"/>
      <c r="S97" s="716"/>
      <c r="T97" s="717"/>
      <c r="U97" s="716"/>
      <c r="V97" s="716"/>
      <c r="W97" s="716"/>
      <c r="X97" s="716"/>
      <c r="Y97" s="716"/>
      <c r="Z97" s="716"/>
      <c r="AA97" s="716"/>
      <c r="AB97" s="716"/>
      <c r="AC97" s="716"/>
      <c r="AD97" s="709">
        <f>IF(NFI_Expiration=1,IF($A97&lt;VLOOKUP(I$5,NFI,5,0),1,0)*Data_NFI_t[[#This Row],[Hygiene Kit]],0)</f>
        <v>0</v>
      </c>
      <c r="AE97" s="709">
        <f>IF(NFI_Expiration=1,IF($A97&lt;VLOOKUP(L$5,NFI,5,0),1,0)*Data_NFI_t[[#This Row],[NFI Core Kit]],0)</f>
        <v>0</v>
      </c>
      <c r="AF97" s="710">
        <f>IF(NFI_Expiration=1,IF($A97&lt;VLOOKUP(M$5,NFI,5,0),1,0)*Data_NFI_t[[#This Row],[Sanitary Kit]],0)</f>
        <v>0</v>
      </c>
      <c r="AG97" s="1055">
        <f>IF(NFI_Expiration=1,IF($A97&lt;VLOOKUP(AC$5,NFI,5,0),1,0)*Data_NFI_t[[#This Row],[Rope]],0)</f>
        <v>0</v>
      </c>
      <c r="AH97" s="710">
        <f>IF(NFI_Expiration=1,IF($A97&lt;VLOOKUP(N$5,NFI,5,0),1,0)*Data_NFI_t[[#This Row],[Mosquito net]],0)</f>
        <v>0</v>
      </c>
      <c r="AI97" s="710">
        <f>IF(NFI_Expiration=1,IF($A97&lt;VLOOKUP(O$5,NFI,5,0),1,0)*Data_NFI_t[[#This Row],[Tarpaulin]],0)</f>
        <v>0</v>
      </c>
      <c r="AJ97" s="710">
        <f>IF(NFI_Expiration=1,IF($A97&lt;VLOOKUP(P$5,NFI,5,0),1,0)*Data_NFI_t[[#This Row],[Blanket]],0)</f>
        <v>0</v>
      </c>
      <c r="AK97" s="710">
        <f>IF(NFI_Expiration=1,IF($A97&lt;VLOOKUP(Q$5,NFI,5,0),1,0)*Data_NFI_t[[#This Row],[Kitchen Set]],0)</f>
        <v>0</v>
      </c>
      <c r="AL97" s="710">
        <f>IF(NFI_Expiration=1,IF($A97&lt;VLOOKUP(R$5,NFI,5,0),1,0)*Data_NFI_t[[#This Row],[Complementary Kit]],0)</f>
        <v>0</v>
      </c>
      <c r="AM97" s="710">
        <f>IF(NFI_Expiration=1,IF($A97&lt;VLOOKUP(S$5,NFI,5,0),1,0)*Data_NFI_t[[#This Row],[Plastic Bucket]],0)</f>
        <v>0</v>
      </c>
      <c r="AN97" s="709">
        <f>IF(NFI_Expiration=1,IF($A97&lt;VLOOKUP(T$5,NFI,5,0),1,0)*Data_NFI_t[[#This Row],[Jerry Can]],0)</f>
        <v>0</v>
      </c>
      <c r="AO97" s="709">
        <f>IF(NFI_Expiration=1,IF($A97&lt;VLOOKUP(U$5,NFI,5,0),1,0)*Data_NFI_t[[#This Row],[Plastic Mat]],0)</f>
        <v>0</v>
      </c>
      <c r="AP97" s="709">
        <f>IF(NFI_Expiration=1,IF($A97&lt;VLOOKUP(V$5,NFI,5,0),1,0)*Data_NFI_t[[#This Row],[Adult Clothes]],0)</f>
        <v>0</v>
      </c>
      <c r="AQ97" s="709">
        <f>IF(NFI_Expiration=1,IF($A97&lt;VLOOKUP(W$5,NFI,5,0),1,0)*Data_NFI_t[[#This Row],[Children Clothes]],0)</f>
        <v>0</v>
      </c>
      <c r="AR97" s="709">
        <f>IF(NFI_Expiration=1,IF($A97&lt;VLOOKUP(X$5,NFI,5,0),1,0)*Data_NFI_t[[#This Row],[Sewing Kit]],0)</f>
        <v>0</v>
      </c>
      <c r="AS97" s="709">
        <f>IF(NFI_Expiration=1,IF($A97&lt;VLOOKUP(X$5,NFI,5,0),1,0)*Data_NFI_t[[#This Row],[Solar Lantern]],0)</f>
        <v>0</v>
      </c>
      <c r="AT97" s="105" t="str">
        <f ca="1">IFERROR(OFFSET(Camp_List[P_Code],MATCH(Data_NFI_t[[#This Row],[Camp Name]],Camp_List[Camp Name],0)-1,0,1,1),"")</f>
        <v>MMR012CMP017</v>
      </c>
      <c r="AU97" s="412" t="str">
        <f ca="1">IFERROR(OFFSET(Camp_List[Status],MATCH(Data_NFI_t[[#This Row],[Camp Name]],Camp_List[Camp Name],0)-1,0,1,1),"")</f>
        <v>Open</v>
      </c>
      <c r="AV97" s="105"/>
      <c r="AY97" s="747"/>
    </row>
    <row r="98" spans="1:51" s="745" customFormat="1" ht="18.75" customHeight="1" x14ac:dyDescent="0.25">
      <c r="A98" s="711">
        <f t="shared" si="4"/>
        <v>16.733333333333334</v>
      </c>
      <c r="B98" s="712">
        <f>YEAR(Data_NFI_t[[#This Row],[Distribution Date]])</f>
        <v>2017</v>
      </c>
      <c r="C98" s="904">
        <v>42932</v>
      </c>
      <c r="D98" s="708" t="s">
        <v>520</v>
      </c>
      <c r="E98" s="708" t="s">
        <v>575</v>
      </c>
      <c r="F98" s="708" t="s">
        <v>7</v>
      </c>
      <c r="G98" s="713" t="s">
        <v>13</v>
      </c>
      <c r="H98" s="713" t="s">
        <v>981</v>
      </c>
      <c r="I98" s="714"/>
      <c r="J98" s="800">
        <v>928</v>
      </c>
      <c r="K98" s="800">
        <v>4380</v>
      </c>
      <c r="L98" s="715"/>
      <c r="M98" s="715"/>
      <c r="N98" s="716"/>
      <c r="O98" s="716">
        <v>928</v>
      </c>
      <c r="P98" s="716"/>
      <c r="Q98" s="716"/>
      <c r="R98" s="716"/>
      <c r="S98" s="716"/>
      <c r="T98" s="717"/>
      <c r="U98" s="716"/>
      <c r="V98" s="716"/>
      <c r="W98" s="716"/>
      <c r="X98" s="716"/>
      <c r="Y98" s="716"/>
      <c r="Z98" s="716"/>
      <c r="AA98" s="716"/>
      <c r="AB98" s="716"/>
      <c r="AC98" s="716"/>
      <c r="AD98" s="709">
        <f>IF(NFI_Expiration=1,IF($A98&lt;VLOOKUP(I$5,NFI,5,0),1,0)*Data_NFI_t[[#This Row],[Hygiene Kit]],0)</f>
        <v>0</v>
      </c>
      <c r="AE98" s="709">
        <f>IF(NFI_Expiration=1,IF($A98&lt;VLOOKUP(L$5,NFI,5,0),1,0)*Data_NFI_t[[#This Row],[NFI Core Kit]],0)</f>
        <v>0</v>
      </c>
      <c r="AF98" s="710">
        <f>IF(NFI_Expiration=1,IF($A98&lt;VLOOKUP(M$5,NFI,5,0),1,0)*Data_NFI_t[[#This Row],[Sanitary Kit]],0)</f>
        <v>0</v>
      </c>
      <c r="AG98" s="1055">
        <f>IF(NFI_Expiration=1,IF($A98&lt;VLOOKUP(AC$5,NFI,5,0),1,0)*Data_NFI_t[[#This Row],[Rope]],0)</f>
        <v>0</v>
      </c>
      <c r="AH98" s="710">
        <f>IF(NFI_Expiration=1,IF($A98&lt;VLOOKUP(N$5,NFI,5,0),1,0)*Data_NFI_t[[#This Row],[Mosquito net]],0)</f>
        <v>0</v>
      </c>
      <c r="AI98" s="710">
        <f>IF(NFI_Expiration=1,IF($A98&lt;VLOOKUP(O$5,NFI,5,0),1,0)*Data_NFI_t[[#This Row],[Tarpaulin]],0)</f>
        <v>0</v>
      </c>
      <c r="AJ98" s="710">
        <f>IF(NFI_Expiration=1,IF($A98&lt;VLOOKUP(P$5,NFI,5,0),1,0)*Data_NFI_t[[#This Row],[Blanket]],0)</f>
        <v>0</v>
      </c>
      <c r="AK98" s="710">
        <f>IF(NFI_Expiration=1,IF($A98&lt;VLOOKUP(Q$5,NFI,5,0),1,0)*Data_NFI_t[[#This Row],[Kitchen Set]],0)</f>
        <v>0</v>
      </c>
      <c r="AL98" s="710">
        <f>IF(NFI_Expiration=1,IF($A98&lt;VLOOKUP(R$5,NFI,5,0),1,0)*Data_NFI_t[[#This Row],[Complementary Kit]],0)</f>
        <v>0</v>
      </c>
      <c r="AM98" s="710">
        <f>IF(NFI_Expiration=1,IF($A98&lt;VLOOKUP(S$5,NFI,5,0),1,0)*Data_NFI_t[[#This Row],[Plastic Bucket]],0)</f>
        <v>0</v>
      </c>
      <c r="AN98" s="709">
        <f>IF(NFI_Expiration=1,IF($A98&lt;VLOOKUP(T$5,NFI,5,0),1,0)*Data_NFI_t[[#This Row],[Jerry Can]],0)</f>
        <v>0</v>
      </c>
      <c r="AO98" s="709">
        <f>IF(NFI_Expiration=1,IF($A98&lt;VLOOKUP(U$5,NFI,5,0),1,0)*Data_NFI_t[[#This Row],[Plastic Mat]],0)</f>
        <v>0</v>
      </c>
      <c r="AP98" s="709">
        <f>IF(NFI_Expiration=1,IF($A98&lt;VLOOKUP(V$5,NFI,5,0),1,0)*Data_NFI_t[[#This Row],[Adult Clothes]],0)</f>
        <v>0</v>
      </c>
      <c r="AQ98" s="709">
        <f>IF(NFI_Expiration=1,IF($A98&lt;VLOOKUP(W$5,NFI,5,0),1,0)*Data_NFI_t[[#This Row],[Children Clothes]],0)</f>
        <v>0</v>
      </c>
      <c r="AR98" s="709">
        <f>IF(NFI_Expiration=1,IF($A98&lt;VLOOKUP(X$5,NFI,5,0),1,0)*Data_NFI_t[[#This Row],[Sewing Kit]],0)</f>
        <v>0</v>
      </c>
      <c r="AS98" s="709">
        <f>IF(NFI_Expiration=1,IF($A98&lt;VLOOKUP(X$5,NFI,5,0),1,0)*Data_NFI_t[[#This Row],[Solar Lantern]],0)</f>
        <v>0</v>
      </c>
      <c r="AT98" s="105" t="str">
        <f ca="1">IFERROR(OFFSET(Camp_List[P_Code],MATCH(Data_NFI_t[[#This Row],[Camp Name]],Camp_List[Camp Name],0)-1,0,1,1),"")</f>
        <v>MMR012CMP017</v>
      </c>
      <c r="AU98" s="412" t="str">
        <f ca="1">IFERROR(OFFSET(Camp_List[Status],MATCH(Data_NFI_t[[#This Row],[Camp Name]],Camp_List[Camp Name],0)-1,0,1,1),"")</f>
        <v>Open</v>
      </c>
      <c r="AV98" s="105"/>
      <c r="AY98" s="747"/>
    </row>
    <row r="99" spans="1:51" s="745" customFormat="1" ht="18.75" customHeight="1" x14ac:dyDescent="0.25">
      <c r="A99" s="711">
        <f t="shared" si="4"/>
        <v>16.766666666666666</v>
      </c>
      <c r="B99" s="712">
        <f>YEAR(Data_NFI_t[[#This Row],[Distribution Date]])</f>
        <v>2017</v>
      </c>
      <c r="C99" s="904">
        <v>42931</v>
      </c>
      <c r="D99" s="708" t="s">
        <v>1016</v>
      </c>
      <c r="E99" s="708" t="s">
        <v>1016</v>
      </c>
      <c r="F99" s="708" t="s">
        <v>7</v>
      </c>
      <c r="G99" s="713" t="s">
        <v>17</v>
      </c>
      <c r="H99" s="713" t="s">
        <v>66</v>
      </c>
      <c r="I99" s="714"/>
      <c r="J99" s="800">
        <v>1137</v>
      </c>
      <c r="K99" s="800">
        <v>6253</v>
      </c>
      <c r="L99" s="715"/>
      <c r="M99" s="715">
        <v>1137</v>
      </c>
      <c r="N99" s="716"/>
      <c r="O99" s="716"/>
      <c r="P99" s="716"/>
      <c r="Q99" s="716"/>
      <c r="R99" s="716"/>
      <c r="S99" s="716"/>
      <c r="T99" s="717"/>
      <c r="U99" s="716"/>
      <c r="V99" s="716"/>
      <c r="W99" s="716"/>
      <c r="X99" s="716"/>
      <c r="Y99" s="716"/>
      <c r="Z99" s="716"/>
      <c r="AA99" s="716"/>
      <c r="AB99" s="716"/>
      <c r="AC99" s="716"/>
      <c r="AD99" s="709">
        <f>IF(NFI_Expiration=1,IF($A99&lt;VLOOKUP(I$5,NFI,5,0),1,0)*Data_NFI_t[[#This Row],[Hygiene Kit]],0)</f>
        <v>0</v>
      </c>
      <c r="AE99" s="709">
        <f>IF(NFI_Expiration=1,IF($A99&lt;VLOOKUP(L$5,NFI,5,0),1,0)*Data_NFI_t[[#This Row],[NFI Core Kit]],0)</f>
        <v>0</v>
      </c>
      <c r="AF99" s="710">
        <f>IF(NFI_Expiration=1,IF($A99&lt;VLOOKUP(M$5,NFI,5,0),1,0)*Data_NFI_t[[#This Row],[Sanitary Kit]],0)</f>
        <v>0</v>
      </c>
      <c r="AG99" s="1055">
        <f>IF(NFI_Expiration=1,IF($A99&lt;VLOOKUP(AC$5,NFI,5,0),1,0)*Data_NFI_t[[#This Row],[Rope]],0)</f>
        <v>0</v>
      </c>
      <c r="AH99" s="710">
        <f>IF(NFI_Expiration=1,IF($A99&lt;VLOOKUP(N$5,NFI,5,0),1,0)*Data_NFI_t[[#This Row],[Mosquito net]],0)</f>
        <v>0</v>
      </c>
      <c r="AI99" s="710">
        <f>IF(NFI_Expiration=1,IF($A99&lt;VLOOKUP(O$5,NFI,5,0),1,0)*Data_NFI_t[[#This Row],[Tarpaulin]],0)</f>
        <v>0</v>
      </c>
      <c r="AJ99" s="710">
        <f>IF(NFI_Expiration=1,IF($A99&lt;VLOOKUP(P$5,NFI,5,0),1,0)*Data_NFI_t[[#This Row],[Blanket]],0)</f>
        <v>0</v>
      </c>
      <c r="AK99" s="710">
        <f>IF(NFI_Expiration=1,IF($A99&lt;VLOOKUP(Q$5,NFI,5,0),1,0)*Data_NFI_t[[#This Row],[Kitchen Set]],0)</f>
        <v>0</v>
      </c>
      <c r="AL99" s="710">
        <f>IF(NFI_Expiration=1,IF($A99&lt;VLOOKUP(R$5,NFI,5,0),1,0)*Data_NFI_t[[#This Row],[Complementary Kit]],0)</f>
        <v>0</v>
      </c>
      <c r="AM99" s="710">
        <f>IF(NFI_Expiration=1,IF($A99&lt;VLOOKUP(S$5,NFI,5,0),1,0)*Data_NFI_t[[#This Row],[Plastic Bucket]],0)</f>
        <v>0</v>
      </c>
      <c r="AN99" s="709">
        <f>IF(NFI_Expiration=1,IF($A99&lt;VLOOKUP(T$5,NFI,5,0),1,0)*Data_NFI_t[[#This Row],[Jerry Can]],0)</f>
        <v>0</v>
      </c>
      <c r="AO99" s="709">
        <f>IF(NFI_Expiration=1,IF($A99&lt;VLOOKUP(U$5,NFI,5,0),1,0)*Data_NFI_t[[#This Row],[Plastic Mat]],0)</f>
        <v>0</v>
      </c>
      <c r="AP99" s="709">
        <f>IF(NFI_Expiration=1,IF($A99&lt;VLOOKUP(V$5,NFI,5,0),1,0)*Data_NFI_t[[#This Row],[Adult Clothes]],0)</f>
        <v>0</v>
      </c>
      <c r="AQ99" s="709">
        <f>IF(NFI_Expiration=1,IF($A99&lt;VLOOKUP(W$5,NFI,5,0),1,0)*Data_NFI_t[[#This Row],[Children Clothes]],0)</f>
        <v>0</v>
      </c>
      <c r="AR99" s="709">
        <f>IF(NFI_Expiration=1,IF($A99&lt;VLOOKUP(X$5,NFI,5,0),1,0)*Data_NFI_t[[#This Row],[Sewing Kit]],0)</f>
        <v>0</v>
      </c>
      <c r="AS99" s="709">
        <f>IF(NFI_Expiration=1,IF($A99&lt;VLOOKUP(X$5,NFI,5,0),1,0)*Data_NFI_t[[#This Row],[Solar Lantern]],0)</f>
        <v>0</v>
      </c>
      <c r="AT99" s="105" t="str">
        <f ca="1">IFERROR(OFFSET(Camp_List[P_Code],MATCH(Data_NFI_t[[#This Row],[Camp Name]],Camp_List[Camp Name],0)-1,0,1,1),"")</f>
        <v>MMR012CMP046</v>
      </c>
      <c r="AU99" s="412" t="str">
        <f ca="1">IFERROR(OFFSET(Camp_List[Status],MATCH(Data_NFI_t[[#This Row],[Camp Name]],Camp_List[Camp Name],0)-1,0,1,1),"")</f>
        <v>Open</v>
      </c>
      <c r="AV99" s="105"/>
      <c r="AY99" s="747"/>
    </row>
    <row r="100" spans="1:51" s="745" customFormat="1" ht="18.75" customHeight="1" x14ac:dyDescent="0.25">
      <c r="A100" s="711">
        <f t="shared" si="4"/>
        <v>16.866666666666667</v>
      </c>
      <c r="B100" s="712">
        <f>YEAR(Data_NFI_t[[#This Row],[Distribution Date]])</f>
        <v>2017</v>
      </c>
      <c r="C100" s="904">
        <v>42928</v>
      </c>
      <c r="D100" s="708" t="s">
        <v>270</v>
      </c>
      <c r="E100" s="708" t="s">
        <v>575</v>
      </c>
      <c r="F100" s="708" t="s">
        <v>7</v>
      </c>
      <c r="G100" s="713" t="s">
        <v>17</v>
      </c>
      <c r="H100" s="713" t="s">
        <v>59</v>
      </c>
      <c r="I100" s="714"/>
      <c r="J100" s="800">
        <v>368</v>
      </c>
      <c r="K100" s="800">
        <f>J100*5.5</f>
        <v>2024</v>
      </c>
      <c r="L100" s="715"/>
      <c r="M100" s="715"/>
      <c r="N100" s="716"/>
      <c r="O100" s="716">
        <v>368</v>
      </c>
      <c r="P100" s="716"/>
      <c r="Q100" s="716"/>
      <c r="R100" s="716"/>
      <c r="S100" s="716"/>
      <c r="T100" s="717"/>
      <c r="U100" s="716"/>
      <c r="V100" s="716"/>
      <c r="W100" s="716"/>
      <c r="X100" s="716"/>
      <c r="Y100" s="716"/>
      <c r="Z100" s="716"/>
      <c r="AA100" s="716"/>
      <c r="AB100" s="716"/>
      <c r="AC100" s="716"/>
      <c r="AD100" s="709">
        <f>IF(NFI_Expiration=1,IF($A100&lt;VLOOKUP(I$5,NFI,5,0),1,0)*Data_NFI_t[[#This Row],[Hygiene Kit]],0)</f>
        <v>0</v>
      </c>
      <c r="AE100" s="709">
        <f>IF(NFI_Expiration=1,IF($A100&lt;VLOOKUP(L$5,NFI,5,0),1,0)*Data_NFI_t[[#This Row],[NFI Core Kit]],0)</f>
        <v>0</v>
      </c>
      <c r="AF100" s="710">
        <f>IF(NFI_Expiration=1,IF($A100&lt;VLOOKUP(M$5,NFI,5,0),1,0)*Data_NFI_t[[#This Row],[Sanitary Kit]],0)</f>
        <v>0</v>
      </c>
      <c r="AG100" s="1055">
        <f>IF(NFI_Expiration=1,IF($A100&lt;VLOOKUP(AC$5,NFI,5,0),1,0)*Data_NFI_t[[#This Row],[Rope]],0)</f>
        <v>0</v>
      </c>
      <c r="AH100" s="710">
        <f>IF(NFI_Expiration=1,IF($A100&lt;VLOOKUP(N$5,NFI,5,0),1,0)*Data_NFI_t[[#This Row],[Mosquito net]],0)</f>
        <v>0</v>
      </c>
      <c r="AI100" s="710">
        <f>IF(NFI_Expiration=1,IF($A100&lt;VLOOKUP(O$5,NFI,5,0),1,0)*Data_NFI_t[[#This Row],[Tarpaulin]],0)</f>
        <v>0</v>
      </c>
      <c r="AJ100" s="710">
        <f>IF(NFI_Expiration=1,IF($A100&lt;VLOOKUP(P$5,NFI,5,0),1,0)*Data_NFI_t[[#This Row],[Blanket]],0)</f>
        <v>0</v>
      </c>
      <c r="AK100" s="710">
        <f>IF(NFI_Expiration=1,IF($A100&lt;VLOOKUP(Q$5,NFI,5,0),1,0)*Data_NFI_t[[#This Row],[Kitchen Set]],0)</f>
        <v>0</v>
      </c>
      <c r="AL100" s="710">
        <f>IF(NFI_Expiration=1,IF($A100&lt;VLOOKUP(R$5,NFI,5,0),1,0)*Data_NFI_t[[#This Row],[Complementary Kit]],0)</f>
        <v>0</v>
      </c>
      <c r="AM100" s="710">
        <f>IF(NFI_Expiration=1,IF($A100&lt;VLOOKUP(S$5,NFI,5,0),1,0)*Data_NFI_t[[#This Row],[Plastic Bucket]],0)</f>
        <v>0</v>
      </c>
      <c r="AN100" s="709">
        <f>IF(NFI_Expiration=1,IF($A100&lt;VLOOKUP(T$5,NFI,5,0),1,0)*Data_NFI_t[[#This Row],[Jerry Can]],0)</f>
        <v>0</v>
      </c>
      <c r="AO100" s="709">
        <f>IF(NFI_Expiration=1,IF($A100&lt;VLOOKUP(U$5,NFI,5,0),1,0)*Data_NFI_t[[#This Row],[Plastic Mat]],0)</f>
        <v>0</v>
      </c>
      <c r="AP100" s="709">
        <f>IF(NFI_Expiration=1,IF($A100&lt;VLOOKUP(V$5,NFI,5,0),1,0)*Data_NFI_t[[#This Row],[Adult Clothes]],0)</f>
        <v>0</v>
      </c>
      <c r="AQ100" s="709">
        <f>IF(NFI_Expiration=1,IF($A100&lt;VLOOKUP(W$5,NFI,5,0),1,0)*Data_NFI_t[[#This Row],[Children Clothes]],0)</f>
        <v>0</v>
      </c>
      <c r="AR100" s="709">
        <f>IF(NFI_Expiration=1,IF($A100&lt;VLOOKUP(X$5,NFI,5,0),1,0)*Data_NFI_t[[#This Row],[Sewing Kit]],0)</f>
        <v>0</v>
      </c>
      <c r="AS100" s="709">
        <f>IF(NFI_Expiration=1,IF($A100&lt;VLOOKUP(X$5,NFI,5,0),1,0)*Data_NFI_t[[#This Row],[Solar Lantern]],0)</f>
        <v>0</v>
      </c>
      <c r="AT100" s="105" t="str">
        <f ca="1">IFERROR(OFFSET(Camp_List[P_Code],MATCH(Data_NFI_t[[#This Row],[Camp Name]],Camp_List[Camp Name],0)-1,0,1,1),"")</f>
        <v>MMR012CMP039</v>
      </c>
      <c r="AU100" s="412" t="str">
        <f ca="1">IFERROR(OFFSET(Camp_List[Status],MATCH(Data_NFI_t[[#This Row],[Camp Name]],Camp_List[Camp Name],0)-1,0,1,1),"")</f>
        <v>Open</v>
      </c>
      <c r="AV100" s="724" t="s">
        <v>1047</v>
      </c>
      <c r="AY100" s="747"/>
    </row>
    <row r="101" spans="1:51" s="745" customFormat="1" ht="18.75" customHeight="1" x14ac:dyDescent="0.25">
      <c r="A101" s="711">
        <f t="shared" si="4"/>
        <v>16.866666666666667</v>
      </c>
      <c r="B101" s="712">
        <f>YEAR(Data_NFI_t[[#This Row],[Distribution Date]])</f>
        <v>2017</v>
      </c>
      <c r="C101" s="904">
        <v>42928</v>
      </c>
      <c r="D101" s="708" t="s">
        <v>270</v>
      </c>
      <c r="E101" s="708" t="s">
        <v>575</v>
      </c>
      <c r="F101" s="708" t="s">
        <v>7</v>
      </c>
      <c r="G101" s="713" t="s">
        <v>17</v>
      </c>
      <c r="H101" s="713" t="s">
        <v>62</v>
      </c>
      <c r="I101" s="714"/>
      <c r="J101" s="800">
        <v>336</v>
      </c>
      <c r="K101" s="800">
        <f>J101*5.5</f>
        <v>1848</v>
      </c>
      <c r="L101" s="715"/>
      <c r="M101" s="715"/>
      <c r="N101" s="716"/>
      <c r="O101" s="716">
        <v>336</v>
      </c>
      <c r="P101" s="716"/>
      <c r="Q101" s="716"/>
      <c r="R101" s="716"/>
      <c r="S101" s="716"/>
      <c r="T101" s="717"/>
      <c r="U101" s="716"/>
      <c r="V101" s="716"/>
      <c r="W101" s="716"/>
      <c r="X101" s="716"/>
      <c r="Y101" s="716"/>
      <c r="Z101" s="716"/>
      <c r="AA101" s="716"/>
      <c r="AB101" s="716"/>
      <c r="AC101" s="716"/>
      <c r="AD101" s="709">
        <f>IF(NFI_Expiration=1,IF($A101&lt;VLOOKUP(I$5,NFI,5,0),1,0)*Data_NFI_t[[#This Row],[Hygiene Kit]],0)</f>
        <v>0</v>
      </c>
      <c r="AE101" s="709">
        <f>IF(NFI_Expiration=1,IF($A101&lt;VLOOKUP(L$5,NFI,5,0),1,0)*Data_NFI_t[[#This Row],[NFI Core Kit]],0)</f>
        <v>0</v>
      </c>
      <c r="AF101" s="710">
        <f>IF(NFI_Expiration=1,IF($A101&lt;VLOOKUP(M$5,NFI,5,0),1,0)*Data_NFI_t[[#This Row],[Sanitary Kit]],0)</f>
        <v>0</v>
      </c>
      <c r="AG101" s="1055">
        <f>IF(NFI_Expiration=1,IF($A101&lt;VLOOKUP(AC$5,NFI,5,0),1,0)*Data_NFI_t[[#This Row],[Rope]],0)</f>
        <v>0</v>
      </c>
      <c r="AH101" s="710">
        <f>IF(NFI_Expiration=1,IF($A101&lt;VLOOKUP(N$5,NFI,5,0),1,0)*Data_NFI_t[[#This Row],[Mosquito net]],0)</f>
        <v>0</v>
      </c>
      <c r="AI101" s="710">
        <f>IF(NFI_Expiration=1,IF($A101&lt;VLOOKUP(O$5,NFI,5,0),1,0)*Data_NFI_t[[#This Row],[Tarpaulin]],0)</f>
        <v>0</v>
      </c>
      <c r="AJ101" s="710">
        <f>IF(NFI_Expiration=1,IF($A101&lt;VLOOKUP(P$5,NFI,5,0),1,0)*Data_NFI_t[[#This Row],[Blanket]],0)</f>
        <v>0</v>
      </c>
      <c r="AK101" s="710">
        <f>IF(NFI_Expiration=1,IF($A101&lt;VLOOKUP(Q$5,NFI,5,0),1,0)*Data_NFI_t[[#This Row],[Kitchen Set]],0)</f>
        <v>0</v>
      </c>
      <c r="AL101" s="710">
        <f>IF(NFI_Expiration=1,IF($A101&lt;VLOOKUP(R$5,NFI,5,0),1,0)*Data_NFI_t[[#This Row],[Complementary Kit]],0)</f>
        <v>0</v>
      </c>
      <c r="AM101" s="710">
        <f>IF(NFI_Expiration=1,IF($A101&lt;VLOOKUP(S$5,NFI,5,0),1,0)*Data_NFI_t[[#This Row],[Plastic Bucket]],0)</f>
        <v>0</v>
      </c>
      <c r="AN101" s="709">
        <f>IF(NFI_Expiration=1,IF($A101&lt;VLOOKUP(T$5,NFI,5,0),1,0)*Data_NFI_t[[#This Row],[Jerry Can]],0)</f>
        <v>0</v>
      </c>
      <c r="AO101" s="709">
        <f>IF(NFI_Expiration=1,IF($A101&lt;VLOOKUP(U$5,NFI,5,0),1,0)*Data_NFI_t[[#This Row],[Plastic Mat]],0)</f>
        <v>0</v>
      </c>
      <c r="AP101" s="709">
        <f>IF(NFI_Expiration=1,IF($A101&lt;VLOOKUP(V$5,NFI,5,0),1,0)*Data_NFI_t[[#This Row],[Adult Clothes]],0)</f>
        <v>0</v>
      </c>
      <c r="AQ101" s="709">
        <f>IF(NFI_Expiration=1,IF($A101&lt;VLOOKUP(W$5,NFI,5,0),1,0)*Data_NFI_t[[#This Row],[Children Clothes]],0)</f>
        <v>0</v>
      </c>
      <c r="AR101" s="709">
        <f>IF(NFI_Expiration=1,IF($A101&lt;VLOOKUP(X$5,NFI,5,0),1,0)*Data_NFI_t[[#This Row],[Sewing Kit]],0)</f>
        <v>0</v>
      </c>
      <c r="AS101" s="709">
        <f>IF(NFI_Expiration=1,IF($A101&lt;VLOOKUP(X$5,NFI,5,0),1,0)*Data_NFI_t[[#This Row],[Solar Lantern]],0)</f>
        <v>0</v>
      </c>
      <c r="AT101" s="105" t="str">
        <f ca="1">IFERROR(OFFSET(Camp_List[P_Code],MATCH(Data_NFI_t[[#This Row],[Camp Name]],Camp_List[Camp Name],0)-1,0,1,1),"")</f>
        <v/>
      </c>
      <c r="AU101" s="412" t="str">
        <f ca="1">IFERROR(OFFSET(Camp_List[Status],MATCH(Data_NFI_t[[#This Row],[Camp Name]],Camp_List[Camp Name],0)-1,0,1,1),"")</f>
        <v/>
      </c>
      <c r="AV101" s="724" t="s">
        <v>1047</v>
      </c>
      <c r="AY101" s="747"/>
    </row>
    <row r="102" spans="1:51" s="745" customFormat="1" ht="18.75" customHeight="1" x14ac:dyDescent="0.25">
      <c r="A102" s="711">
        <f t="shared" si="4"/>
        <v>16.899999999999999</v>
      </c>
      <c r="B102" s="712">
        <f>YEAR(Data_NFI_t[[#This Row],[Distribution Date]])</f>
        <v>2017</v>
      </c>
      <c r="C102" s="904">
        <v>42927</v>
      </c>
      <c r="D102" s="708" t="s">
        <v>270</v>
      </c>
      <c r="E102" s="708" t="s">
        <v>575</v>
      </c>
      <c r="F102" s="708" t="s">
        <v>7</v>
      </c>
      <c r="G102" s="713" t="s">
        <v>17</v>
      </c>
      <c r="H102" s="713" t="s">
        <v>62</v>
      </c>
      <c r="I102" s="714"/>
      <c r="J102" s="800">
        <v>176</v>
      </c>
      <c r="K102" s="800">
        <f>J102*5.5</f>
        <v>968</v>
      </c>
      <c r="L102" s="715"/>
      <c r="M102" s="715"/>
      <c r="N102" s="716"/>
      <c r="O102" s="716">
        <v>176</v>
      </c>
      <c r="P102" s="716"/>
      <c r="Q102" s="716"/>
      <c r="R102" s="716"/>
      <c r="S102" s="716"/>
      <c r="T102" s="717"/>
      <c r="U102" s="716"/>
      <c r="V102" s="716"/>
      <c r="W102" s="716"/>
      <c r="X102" s="716"/>
      <c r="Y102" s="716"/>
      <c r="Z102" s="716"/>
      <c r="AA102" s="716"/>
      <c r="AB102" s="716"/>
      <c r="AC102" s="716"/>
      <c r="AD102" s="709">
        <f>IF(NFI_Expiration=1,IF($A102&lt;VLOOKUP(I$5,NFI,5,0),1,0)*Data_NFI_t[[#This Row],[Hygiene Kit]],0)</f>
        <v>0</v>
      </c>
      <c r="AE102" s="709">
        <f>IF(NFI_Expiration=1,IF($A102&lt;VLOOKUP(L$5,NFI,5,0),1,0)*Data_NFI_t[[#This Row],[NFI Core Kit]],0)</f>
        <v>0</v>
      </c>
      <c r="AF102" s="710">
        <f>IF(NFI_Expiration=1,IF($A102&lt;VLOOKUP(M$5,NFI,5,0),1,0)*Data_NFI_t[[#This Row],[Sanitary Kit]],0)</f>
        <v>0</v>
      </c>
      <c r="AG102" s="1055">
        <f>IF(NFI_Expiration=1,IF($A102&lt;VLOOKUP(AC$5,NFI,5,0),1,0)*Data_NFI_t[[#This Row],[Rope]],0)</f>
        <v>0</v>
      </c>
      <c r="AH102" s="710">
        <f>IF(NFI_Expiration=1,IF($A102&lt;VLOOKUP(N$5,NFI,5,0),1,0)*Data_NFI_t[[#This Row],[Mosquito net]],0)</f>
        <v>0</v>
      </c>
      <c r="AI102" s="710">
        <f>IF(NFI_Expiration=1,IF($A102&lt;VLOOKUP(O$5,NFI,5,0),1,0)*Data_NFI_t[[#This Row],[Tarpaulin]],0)</f>
        <v>0</v>
      </c>
      <c r="AJ102" s="710">
        <f>IF(NFI_Expiration=1,IF($A102&lt;VLOOKUP(P$5,NFI,5,0),1,0)*Data_NFI_t[[#This Row],[Blanket]],0)</f>
        <v>0</v>
      </c>
      <c r="AK102" s="710">
        <f>IF(NFI_Expiration=1,IF($A102&lt;VLOOKUP(Q$5,NFI,5,0),1,0)*Data_NFI_t[[#This Row],[Kitchen Set]],0)</f>
        <v>0</v>
      </c>
      <c r="AL102" s="710">
        <f>IF(NFI_Expiration=1,IF($A102&lt;VLOOKUP(R$5,NFI,5,0),1,0)*Data_NFI_t[[#This Row],[Complementary Kit]],0)</f>
        <v>0</v>
      </c>
      <c r="AM102" s="710">
        <f>IF(NFI_Expiration=1,IF($A102&lt;VLOOKUP(S$5,NFI,5,0),1,0)*Data_NFI_t[[#This Row],[Plastic Bucket]],0)</f>
        <v>0</v>
      </c>
      <c r="AN102" s="709">
        <f>IF(NFI_Expiration=1,IF($A102&lt;VLOOKUP(T$5,NFI,5,0),1,0)*Data_NFI_t[[#This Row],[Jerry Can]],0)</f>
        <v>0</v>
      </c>
      <c r="AO102" s="709">
        <f>IF(NFI_Expiration=1,IF($A102&lt;VLOOKUP(U$5,NFI,5,0),1,0)*Data_NFI_t[[#This Row],[Plastic Mat]],0)</f>
        <v>0</v>
      </c>
      <c r="AP102" s="709">
        <f>IF(NFI_Expiration=1,IF($A102&lt;VLOOKUP(V$5,NFI,5,0),1,0)*Data_NFI_t[[#This Row],[Adult Clothes]],0)</f>
        <v>0</v>
      </c>
      <c r="AQ102" s="709">
        <f>IF(NFI_Expiration=1,IF($A102&lt;VLOOKUP(W$5,NFI,5,0),1,0)*Data_NFI_t[[#This Row],[Children Clothes]],0)</f>
        <v>0</v>
      </c>
      <c r="AR102" s="709">
        <f>IF(NFI_Expiration=1,IF($A102&lt;VLOOKUP(X$5,NFI,5,0),1,0)*Data_NFI_t[[#This Row],[Sewing Kit]],0)</f>
        <v>0</v>
      </c>
      <c r="AS102" s="709">
        <f>IF(NFI_Expiration=1,IF($A102&lt;VLOOKUP(X$5,NFI,5,0),1,0)*Data_NFI_t[[#This Row],[Solar Lantern]],0)</f>
        <v>0</v>
      </c>
      <c r="AT102" s="105" t="str">
        <f ca="1">IFERROR(OFFSET(Camp_List[P_Code],MATCH(Data_NFI_t[[#This Row],[Camp Name]],Camp_List[Camp Name],0)-1,0,1,1),"")</f>
        <v/>
      </c>
      <c r="AU102" s="412" t="str">
        <f ca="1">IFERROR(OFFSET(Camp_List[Status],MATCH(Data_NFI_t[[#This Row],[Camp Name]],Camp_List[Camp Name],0)-1,0,1,1),"")</f>
        <v/>
      </c>
      <c r="AV102" s="724" t="s">
        <v>1047</v>
      </c>
      <c r="AY102" s="747"/>
    </row>
    <row r="103" spans="1:51" s="745" customFormat="1" ht="18.75" customHeight="1" x14ac:dyDescent="0.25">
      <c r="A103" s="711">
        <f t="shared" si="4"/>
        <v>17.033333333333335</v>
      </c>
      <c r="B103" s="712">
        <f>YEAR(Data_NFI_t[[#This Row],[Distribution Date]])</f>
        <v>2017</v>
      </c>
      <c r="C103" s="904">
        <v>42923</v>
      </c>
      <c r="D103" s="708" t="s">
        <v>270</v>
      </c>
      <c r="E103" s="708" t="s">
        <v>1050</v>
      </c>
      <c r="F103" s="708" t="s">
        <v>7</v>
      </c>
      <c r="G103" s="713" t="s">
        <v>17</v>
      </c>
      <c r="H103" s="713"/>
      <c r="I103" s="714"/>
      <c r="J103" s="815" t="s">
        <v>1091</v>
      </c>
      <c r="K103" s="815" t="s">
        <v>1091</v>
      </c>
      <c r="L103" s="715"/>
      <c r="M103" s="715"/>
      <c r="N103" s="716"/>
      <c r="O103" s="716">
        <v>50</v>
      </c>
      <c r="P103" s="716"/>
      <c r="Q103" s="716"/>
      <c r="R103" s="716"/>
      <c r="S103" s="716"/>
      <c r="T103" s="717"/>
      <c r="U103" s="716"/>
      <c r="V103" s="716"/>
      <c r="W103" s="716"/>
      <c r="X103" s="716"/>
      <c r="Y103" s="716"/>
      <c r="Z103" s="716"/>
      <c r="AA103" s="716"/>
      <c r="AB103" s="716"/>
      <c r="AC103" s="716"/>
      <c r="AD103" s="753">
        <f>IF(NFI_Expiration=1,IF($A103&lt;VLOOKUP(I$5,NFI,5,0),1,0)*Data_NFI_t[[#This Row],[Hygiene Kit]],0)</f>
        <v>0</v>
      </c>
      <c r="AE103" s="753">
        <f>IF(NFI_Expiration=1,IF($A103&lt;VLOOKUP(L$5,NFI,5,0),1,0)*Data_NFI_t[[#This Row],[NFI Core Kit]],0)</f>
        <v>0</v>
      </c>
      <c r="AF103" s="715">
        <f>IF(NFI_Expiration=1,IF($A103&lt;VLOOKUP(M$5,NFI,5,0),1,0)*Data_NFI_t[[#This Row],[Sanitary Kit]],0)</f>
        <v>0</v>
      </c>
      <c r="AG103" s="1055">
        <f>IF(NFI_Expiration=1,IF($A103&lt;VLOOKUP(AC$5,NFI,5,0),1,0)*Data_NFI_t[[#This Row],[Rope]],0)</f>
        <v>0</v>
      </c>
      <c r="AH103" s="715">
        <f>IF(NFI_Expiration=1,IF($A103&lt;VLOOKUP(N$5,NFI,5,0),1,0)*Data_NFI_t[[#This Row],[Mosquito net]],0)</f>
        <v>0</v>
      </c>
      <c r="AI103" s="715">
        <f>IF(NFI_Expiration=1,IF($A103&lt;VLOOKUP(O$5,NFI,5,0),1,0)*Data_NFI_t[[#This Row],[Tarpaulin]],0)</f>
        <v>0</v>
      </c>
      <c r="AJ103" s="715">
        <f>IF(NFI_Expiration=1,IF($A103&lt;VLOOKUP(P$5,NFI,5,0),1,0)*Data_NFI_t[[#This Row],[Blanket]],0)</f>
        <v>0</v>
      </c>
      <c r="AK103" s="715">
        <f>IF(NFI_Expiration=1,IF($A103&lt;VLOOKUP(Q$5,NFI,5,0),1,0)*Data_NFI_t[[#This Row],[Kitchen Set]],0)</f>
        <v>0</v>
      </c>
      <c r="AL103" s="715">
        <f>IF(NFI_Expiration=1,IF($A103&lt;VLOOKUP(R$5,NFI,5,0),1,0)*Data_NFI_t[[#This Row],[Complementary Kit]],0)</f>
        <v>0</v>
      </c>
      <c r="AM103" s="715">
        <f>IF(NFI_Expiration=1,IF($A103&lt;VLOOKUP(S$5,NFI,5,0),1,0)*Data_NFI_t[[#This Row],[Plastic Bucket]],0)</f>
        <v>0</v>
      </c>
      <c r="AN103" s="753">
        <f>IF(NFI_Expiration=1,IF($A103&lt;VLOOKUP(T$5,NFI,5,0),1,0)*Data_NFI_t[[#This Row],[Jerry Can]],0)</f>
        <v>0</v>
      </c>
      <c r="AO103" s="709">
        <f>IF(NFI_Expiration=1,IF($A103&lt;VLOOKUP(U$5,NFI,5,0),1,0)*Data_NFI_t[[#This Row],[Plastic Mat]],0)</f>
        <v>0</v>
      </c>
      <c r="AP103" s="753">
        <f>IF(NFI_Expiration=1,IF($A103&lt;VLOOKUP(V$5,NFI,5,0),1,0)*Data_NFI_t[[#This Row],[Adult Clothes]],0)</f>
        <v>0</v>
      </c>
      <c r="AQ103" s="753">
        <f>IF(NFI_Expiration=1,IF($A103&lt;VLOOKUP(W$5,NFI,5,0),1,0)*Data_NFI_t[[#This Row],[Children Clothes]],0)</f>
        <v>0</v>
      </c>
      <c r="AR103" s="753">
        <f>IF(NFI_Expiration=1,IF($A103&lt;VLOOKUP(X$5,NFI,5,0),1,0)*Data_NFI_t[[#This Row],[Sewing Kit]],0)</f>
        <v>0</v>
      </c>
      <c r="AS103" s="753">
        <f>IF(NFI_Expiration=1,IF($A103&lt;VLOOKUP(X$5,NFI,5,0),1,0)*Data_NFI_t[[#This Row],[Solar Lantern]],0)</f>
        <v>0</v>
      </c>
      <c r="AT103" s="754" t="str">
        <f ca="1">IFERROR(OFFSET(Camp_List[P_Code],MATCH(Data_NFI_t[[#This Row],[Camp Name]],Camp_List[Camp Name],0)-1,0,1,1),"")</f>
        <v/>
      </c>
      <c r="AU103" s="755" t="str">
        <f ca="1">IFERROR(OFFSET(Camp_List[Status],MATCH(Data_NFI_t[[#This Row],[Camp Name]],Camp_List[Camp Name],0)-1,0,1,1),"")</f>
        <v/>
      </c>
      <c r="AV103" s="756" t="s">
        <v>1051</v>
      </c>
      <c r="AY103" s="747"/>
    </row>
    <row r="104" spans="1:51" s="745" customFormat="1" ht="18.75" customHeight="1" x14ac:dyDescent="0.25">
      <c r="A104" s="711">
        <f t="shared" si="4"/>
        <v>17.033333333333335</v>
      </c>
      <c r="B104" s="712">
        <f>YEAR(Data_NFI_t[[#This Row],[Distribution Date]])</f>
        <v>2017</v>
      </c>
      <c r="C104" s="904">
        <v>42923</v>
      </c>
      <c r="D104" s="708" t="s">
        <v>270</v>
      </c>
      <c r="E104" s="708" t="s">
        <v>273</v>
      </c>
      <c r="F104" s="708" t="s">
        <v>7</v>
      </c>
      <c r="G104" s="713" t="s">
        <v>17</v>
      </c>
      <c r="H104" s="713" t="s">
        <v>585</v>
      </c>
      <c r="I104" s="714"/>
      <c r="J104" s="800">
        <v>267</v>
      </c>
      <c r="K104" s="800">
        <v>1468</v>
      </c>
      <c r="L104" s="715"/>
      <c r="M104" s="715"/>
      <c r="N104" s="716">
        <v>267</v>
      </c>
      <c r="O104" s="716">
        <v>267</v>
      </c>
      <c r="P104" s="716"/>
      <c r="Q104" s="716">
        <v>267</v>
      </c>
      <c r="R104" s="716"/>
      <c r="S104" s="716"/>
      <c r="T104" s="717">
        <v>267</v>
      </c>
      <c r="U104" s="716">
        <v>801</v>
      </c>
      <c r="V104" s="716"/>
      <c r="W104" s="716"/>
      <c r="X104" s="716"/>
      <c r="Y104" s="716"/>
      <c r="Z104" s="716"/>
      <c r="AA104" s="716"/>
      <c r="AB104" s="716"/>
      <c r="AC104" s="716"/>
      <c r="AD104" s="709">
        <f>IF(NFI_Expiration=1,IF($A104&lt;VLOOKUP(I$5,NFI,5,0),1,0)*Data_NFI_t[[#This Row],[Hygiene Kit]],0)</f>
        <v>0</v>
      </c>
      <c r="AE104" s="709">
        <f>IF(NFI_Expiration=1,IF($A104&lt;VLOOKUP(L$5,NFI,5,0),1,0)*Data_NFI_t[[#This Row],[NFI Core Kit]],0)</f>
        <v>0</v>
      </c>
      <c r="AF104" s="710">
        <f>IF(NFI_Expiration=1,IF($A104&lt;VLOOKUP(M$5,NFI,5,0),1,0)*Data_NFI_t[[#This Row],[Sanitary Kit]],0)</f>
        <v>0</v>
      </c>
      <c r="AG104" s="1055">
        <f>IF(NFI_Expiration=1,IF($A104&lt;VLOOKUP(AC$5,NFI,5,0),1,0)*Data_NFI_t[[#This Row],[Rope]],0)</f>
        <v>0</v>
      </c>
      <c r="AH104" s="710">
        <f>IF(NFI_Expiration=1,IF($A104&lt;VLOOKUP(N$5,NFI,5,0),1,0)*Data_NFI_t[[#This Row],[Mosquito net]],0)</f>
        <v>0</v>
      </c>
      <c r="AI104" s="710">
        <f>IF(NFI_Expiration=1,IF($A104&lt;VLOOKUP(O$5,NFI,5,0),1,0)*Data_NFI_t[[#This Row],[Tarpaulin]],0)</f>
        <v>0</v>
      </c>
      <c r="AJ104" s="710">
        <f>IF(NFI_Expiration=1,IF($A104&lt;VLOOKUP(P$5,NFI,5,0),1,0)*Data_NFI_t[[#This Row],[Blanket]],0)</f>
        <v>0</v>
      </c>
      <c r="AK104" s="710">
        <f>IF(NFI_Expiration=1,IF($A104&lt;VLOOKUP(Q$5,NFI,5,0),1,0)*Data_NFI_t[[#This Row],[Kitchen Set]],0)</f>
        <v>0</v>
      </c>
      <c r="AL104" s="710">
        <f>IF(NFI_Expiration=1,IF($A104&lt;VLOOKUP(R$5,NFI,5,0),1,0)*Data_NFI_t[[#This Row],[Complementary Kit]],0)</f>
        <v>0</v>
      </c>
      <c r="AM104" s="710">
        <f>IF(NFI_Expiration=1,IF($A104&lt;VLOOKUP(S$5,NFI,5,0),1,0)*Data_NFI_t[[#This Row],[Plastic Bucket]],0)</f>
        <v>0</v>
      </c>
      <c r="AN104" s="709">
        <f>IF(NFI_Expiration=1,IF($A104&lt;VLOOKUP(T$5,NFI,5,0),1,0)*Data_NFI_t[[#This Row],[Jerry Can]],0)</f>
        <v>0</v>
      </c>
      <c r="AO104" s="709">
        <f>IF(NFI_Expiration=1,IF($A104&lt;VLOOKUP(U$5,NFI,5,0),1,0)*Data_NFI_t[[#This Row],[Plastic Mat]],0)</f>
        <v>0</v>
      </c>
      <c r="AP104" s="709">
        <f>IF(NFI_Expiration=1,IF($A104&lt;VLOOKUP(V$5,NFI,5,0),1,0)*Data_NFI_t[[#This Row],[Adult Clothes]],0)</f>
        <v>0</v>
      </c>
      <c r="AQ104" s="709">
        <f>IF(NFI_Expiration=1,IF($A104&lt;VLOOKUP(W$5,NFI,5,0),1,0)*Data_NFI_t[[#This Row],[Children Clothes]],0)</f>
        <v>0</v>
      </c>
      <c r="AR104" s="709">
        <f>IF(NFI_Expiration=1,IF($A104&lt;VLOOKUP(X$5,NFI,5,0),1,0)*Data_NFI_t[[#This Row],[Sewing Kit]],0)</f>
        <v>0</v>
      </c>
      <c r="AS104" s="709">
        <f>IF(NFI_Expiration=1,IF($A104&lt;VLOOKUP(X$5,NFI,5,0),1,0)*Data_NFI_t[[#This Row],[Solar Lantern]],0)</f>
        <v>0</v>
      </c>
      <c r="AT104" s="105" t="str">
        <f ca="1">IFERROR(OFFSET(Camp_List[P_Code],MATCH(Data_NFI_t[[#This Row],[Camp Name]],Camp_List[Camp Name],0)-1,0,1,1),"")</f>
        <v>MMR012CMP098</v>
      </c>
      <c r="AU104" s="412" t="str">
        <f ca="1">IFERROR(OFFSET(Camp_List[Status],MATCH(Data_NFI_t[[#This Row],[Camp Name]],Camp_List[Camp Name],0)-1,0,1,1),"")</f>
        <v>Open</v>
      </c>
      <c r="AV104" s="724" t="s">
        <v>1047</v>
      </c>
      <c r="AY104" s="747"/>
    </row>
    <row r="105" spans="1:51" s="745" customFormat="1" ht="18.75" customHeight="1" x14ac:dyDescent="0.25">
      <c r="A105" s="711">
        <f t="shared" si="4"/>
        <v>17.233333333333334</v>
      </c>
      <c r="B105" s="712">
        <f>YEAR(Data_NFI_t[[#This Row],[Distribution Date]])</f>
        <v>2017</v>
      </c>
      <c r="C105" s="904">
        <v>42917</v>
      </c>
      <c r="D105" s="708" t="s">
        <v>1035</v>
      </c>
      <c r="E105" s="708" t="s">
        <v>1035</v>
      </c>
      <c r="F105" s="708" t="s">
        <v>7</v>
      </c>
      <c r="G105" s="713" t="s">
        <v>17</v>
      </c>
      <c r="H105" s="713" t="s">
        <v>586</v>
      </c>
      <c r="I105" s="714"/>
      <c r="J105" s="799">
        <v>2717</v>
      </c>
      <c r="K105" s="799">
        <v>13793</v>
      </c>
      <c r="L105" s="715"/>
      <c r="M105" s="715">
        <v>2717</v>
      </c>
      <c r="N105" s="716"/>
      <c r="O105" s="716"/>
      <c r="P105" s="716"/>
      <c r="Q105" s="716"/>
      <c r="R105" s="716"/>
      <c r="S105" s="716"/>
      <c r="T105" s="717"/>
      <c r="U105" s="716"/>
      <c r="V105" s="716"/>
      <c r="W105" s="716"/>
      <c r="X105" s="716"/>
      <c r="Y105" s="716"/>
      <c r="Z105" s="716"/>
      <c r="AA105" s="716"/>
      <c r="AB105" s="716"/>
      <c r="AC105" s="716"/>
      <c r="AD105" s="709">
        <f>IF(NFI_Expiration=1,IF($A105&lt;VLOOKUP(I$5,NFI,5,0),1,0)*Data_NFI_t[[#This Row],[Hygiene Kit]],0)</f>
        <v>0</v>
      </c>
      <c r="AE105" s="709">
        <f>IF(NFI_Expiration=1,IF($A105&lt;VLOOKUP(L$5,NFI,5,0),1,0)*Data_NFI_t[[#This Row],[NFI Core Kit]],0)</f>
        <v>0</v>
      </c>
      <c r="AF105" s="710">
        <f>IF(NFI_Expiration=1,IF($A105&lt;VLOOKUP(M$5,NFI,5,0),1,0)*Data_NFI_t[[#This Row],[Sanitary Kit]],0)</f>
        <v>0</v>
      </c>
      <c r="AG105" s="1055">
        <f>IF(NFI_Expiration=1,IF($A105&lt;VLOOKUP(AC$5,NFI,5,0),1,0)*Data_NFI_t[[#This Row],[Rope]],0)</f>
        <v>0</v>
      </c>
      <c r="AH105" s="710">
        <f>IF(NFI_Expiration=1,IF($A105&lt;VLOOKUP(N$5,NFI,5,0),1,0)*Data_NFI_t[[#This Row],[Mosquito net]],0)</f>
        <v>0</v>
      </c>
      <c r="AI105" s="710">
        <f>IF(NFI_Expiration=1,IF($A105&lt;VLOOKUP(O$5,NFI,5,0),1,0)*Data_NFI_t[[#This Row],[Tarpaulin]],0)</f>
        <v>0</v>
      </c>
      <c r="AJ105" s="710">
        <f>IF(NFI_Expiration=1,IF($A105&lt;VLOOKUP(P$5,NFI,5,0),1,0)*Data_NFI_t[[#This Row],[Blanket]],0)</f>
        <v>0</v>
      </c>
      <c r="AK105" s="710">
        <f>IF(NFI_Expiration=1,IF($A105&lt;VLOOKUP(Q$5,NFI,5,0),1,0)*Data_NFI_t[[#This Row],[Kitchen Set]],0)</f>
        <v>0</v>
      </c>
      <c r="AL105" s="710">
        <f>IF(NFI_Expiration=1,IF($A105&lt;VLOOKUP(R$5,NFI,5,0),1,0)*Data_NFI_t[[#This Row],[Complementary Kit]],0)</f>
        <v>0</v>
      </c>
      <c r="AM105" s="710">
        <f>IF(NFI_Expiration=1,IF($A105&lt;VLOOKUP(S$5,NFI,5,0),1,0)*Data_NFI_t[[#This Row],[Plastic Bucket]],0)</f>
        <v>0</v>
      </c>
      <c r="AN105" s="709">
        <f>IF(NFI_Expiration=1,IF($A105&lt;VLOOKUP(T$5,NFI,5,0),1,0)*Data_NFI_t[[#This Row],[Jerry Can]],0)</f>
        <v>0</v>
      </c>
      <c r="AO105" s="709">
        <f>IF(NFI_Expiration=1,IF($A105&lt;VLOOKUP(U$5,NFI,5,0),1,0)*Data_NFI_t[[#This Row],[Plastic Mat]],0)</f>
        <v>0</v>
      </c>
      <c r="AP105" s="709">
        <f>IF(NFI_Expiration=1,IF($A105&lt;VLOOKUP(V$5,NFI,5,0),1,0)*Data_NFI_t[[#This Row],[Adult Clothes]],0)</f>
        <v>0</v>
      </c>
      <c r="AQ105" s="709">
        <f>IF(NFI_Expiration=1,IF($A105&lt;VLOOKUP(W$5,NFI,5,0),1,0)*Data_NFI_t[[#This Row],[Children Clothes]],0)</f>
        <v>0</v>
      </c>
      <c r="AR105" s="709">
        <f>IF(NFI_Expiration=1,IF($A105&lt;VLOOKUP(X$5,NFI,5,0),1,0)*Data_NFI_t[[#This Row],[Sewing Kit]],0)</f>
        <v>0</v>
      </c>
      <c r="AS105" s="709">
        <f>IF(NFI_Expiration=1,IF($A105&lt;VLOOKUP(X$5,NFI,5,0),1,0)*Data_NFI_t[[#This Row],[Solar Lantern]],0)</f>
        <v>0</v>
      </c>
      <c r="AT105" s="105" t="str">
        <f ca="1">IFERROR(OFFSET(Camp_List[P_Code],MATCH(Data_NFI_t[[#This Row],[Camp Name]],Camp_List[Camp Name],0)-1,0,1,1),"")</f>
        <v>MMR012CMP115</v>
      </c>
      <c r="AU105" s="412" t="str">
        <f ca="1">IFERROR(OFFSET(Camp_List[Status],MATCH(Data_NFI_t[[#This Row],[Camp Name]],Camp_List[Camp Name],0)-1,0,1,1),"")</f>
        <v>Open</v>
      </c>
      <c r="AV105" s="105"/>
      <c r="AY105" s="747"/>
    </row>
    <row r="106" spans="1:51" s="745" customFormat="1" ht="18.75" customHeight="1" x14ac:dyDescent="0.25">
      <c r="A106" s="711">
        <f t="shared" si="4"/>
        <v>17.233333333333334</v>
      </c>
      <c r="B106" s="712">
        <f>YEAR(Data_NFI_t[[#This Row],[Distribution Date]])</f>
        <v>2017</v>
      </c>
      <c r="C106" s="904">
        <v>42917</v>
      </c>
      <c r="D106" s="708" t="s">
        <v>1035</v>
      </c>
      <c r="E106" s="708" t="s">
        <v>1035</v>
      </c>
      <c r="F106" s="708" t="s">
        <v>7</v>
      </c>
      <c r="G106" s="713" t="s">
        <v>17</v>
      </c>
      <c r="H106" s="713" t="s">
        <v>580</v>
      </c>
      <c r="I106" s="714"/>
      <c r="J106" s="799">
        <v>656</v>
      </c>
      <c r="K106" s="799">
        <v>3492</v>
      </c>
      <c r="L106" s="715"/>
      <c r="M106" s="715">
        <v>656</v>
      </c>
      <c r="N106" s="716"/>
      <c r="O106" s="716"/>
      <c r="P106" s="716"/>
      <c r="Q106" s="716"/>
      <c r="R106" s="716"/>
      <c r="S106" s="716"/>
      <c r="T106" s="717"/>
      <c r="U106" s="716"/>
      <c r="V106" s="716"/>
      <c r="W106" s="716"/>
      <c r="X106" s="716"/>
      <c r="Y106" s="716"/>
      <c r="Z106" s="716"/>
      <c r="AA106" s="716"/>
      <c r="AB106" s="716"/>
      <c r="AC106" s="716"/>
      <c r="AD106" s="709">
        <f>IF(NFI_Expiration=1,IF($A106&lt;VLOOKUP(I$5,NFI,5,0),1,0)*Data_NFI_t[[#This Row],[Hygiene Kit]],0)</f>
        <v>0</v>
      </c>
      <c r="AE106" s="709">
        <f>IF(NFI_Expiration=1,IF($A106&lt;VLOOKUP(L$5,NFI,5,0),1,0)*Data_NFI_t[[#This Row],[NFI Core Kit]],0)</f>
        <v>0</v>
      </c>
      <c r="AF106" s="710">
        <f>IF(NFI_Expiration=1,IF($A106&lt;VLOOKUP(M$5,NFI,5,0),1,0)*Data_NFI_t[[#This Row],[Sanitary Kit]],0)</f>
        <v>0</v>
      </c>
      <c r="AG106" s="1055">
        <f>IF(NFI_Expiration=1,IF($A106&lt;VLOOKUP(AC$5,NFI,5,0),1,0)*Data_NFI_t[[#This Row],[Rope]],0)</f>
        <v>0</v>
      </c>
      <c r="AH106" s="710">
        <f>IF(NFI_Expiration=1,IF($A106&lt;VLOOKUP(N$5,NFI,5,0),1,0)*Data_NFI_t[[#This Row],[Mosquito net]],0)</f>
        <v>0</v>
      </c>
      <c r="AI106" s="710">
        <f>IF(NFI_Expiration=1,IF($A106&lt;VLOOKUP(O$5,NFI,5,0),1,0)*Data_NFI_t[[#This Row],[Tarpaulin]],0)</f>
        <v>0</v>
      </c>
      <c r="AJ106" s="710">
        <f>IF(NFI_Expiration=1,IF($A106&lt;VLOOKUP(P$5,NFI,5,0),1,0)*Data_NFI_t[[#This Row],[Blanket]],0)</f>
        <v>0</v>
      </c>
      <c r="AK106" s="710">
        <f>IF(NFI_Expiration=1,IF($A106&lt;VLOOKUP(Q$5,NFI,5,0),1,0)*Data_NFI_t[[#This Row],[Kitchen Set]],0)</f>
        <v>0</v>
      </c>
      <c r="AL106" s="710">
        <f>IF(NFI_Expiration=1,IF($A106&lt;VLOOKUP(R$5,NFI,5,0),1,0)*Data_NFI_t[[#This Row],[Complementary Kit]],0)</f>
        <v>0</v>
      </c>
      <c r="AM106" s="710">
        <f>IF(NFI_Expiration=1,IF($A106&lt;VLOOKUP(S$5,NFI,5,0),1,0)*Data_NFI_t[[#This Row],[Plastic Bucket]],0)</f>
        <v>0</v>
      </c>
      <c r="AN106" s="709">
        <f>IF(NFI_Expiration=1,IF($A106&lt;VLOOKUP(T$5,NFI,5,0),1,0)*Data_NFI_t[[#This Row],[Jerry Can]],0)</f>
        <v>0</v>
      </c>
      <c r="AO106" s="709">
        <f>IF(NFI_Expiration=1,IF($A106&lt;VLOOKUP(U$5,NFI,5,0),1,0)*Data_NFI_t[[#This Row],[Plastic Mat]],0)</f>
        <v>0</v>
      </c>
      <c r="AP106" s="709">
        <f>IF(NFI_Expiration=1,IF($A106&lt;VLOOKUP(V$5,NFI,5,0),1,0)*Data_NFI_t[[#This Row],[Adult Clothes]],0)</f>
        <v>0</v>
      </c>
      <c r="AQ106" s="709">
        <f>IF(NFI_Expiration=1,IF($A106&lt;VLOOKUP(W$5,NFI,5,0),1,0)*Data_NFI_t[[#This Row],[Children Clothes]],0)</f>
        <v>0</v>
      </c>
      <c r="AR106" s="709">
        <f>IF(NFI_Expiration=1,IF($A106&lt;VLOOKUP(X$5,NFI,5,0),1,0)*Data_NFI_t[[#This Row],[Sewing Kit]],0)</f>
        <v>0</v>
      </c>
      <c r="AS106" s="709">
        <f>IF(NFI_Expiration=1,IF($A106&lt;VLOOKUP(X$5,NFI,5,0),1,0)*Data_NFI_t[[#This Row],[Solar Lantern]],0)</f>
        <v>0</v>
      </c>
      <c r="AT106" s="105" t="str">
        <f ca="1">IFERROR(OFFSET(Camp_List[P_Code],MATCH(Data_NFI_t[[#This Row],[Camp Name]],Camp_List[Camp Name],0)-1,0,1,1),"")</f>
        <v>MMR012CMP092</v>
      </c>
      <c r="AU106" s="412" t="str">
        <f ca="1">IFERROR(OFFSET(Camp_List[Status],MATCH(Data_NFI_t[[#This Row],[Camp Name]],Camp_List[Camp Name],0)-1,0,1,1),"")</f>
        <v>Open</v>
      </c>
      <c r="AV106" s="105"/>
      <c r="AY106" s="747"/>
    </row>
    <row r="107" spans="1:51" s="745" customFormat="1" ht="18.75" customHeight="1" x14ac:dyDescent="0.25">
      <c r="A107" s="711">
        <f t="shared" si="4"/>
        <v>17.233333333333334</v>
      </c>
      <c r="B107" s="712">
        <f>YEAR(Data_NFI_t[[#This Row],[Distribution Date]])</f>
        <v>2017</v>
      </c>
      <c r="C107" s="904">
        <v>42917</v>
      </c>
      <c r="D107" s="708" t="s">
        <v>1035</v>
      </c>
      <c r="E107" s="708" t="s">
        <v>1035</v>
      </c>
      <c r="F107" s="708" t="s">
        <v>7</v>
      </c>
      <c r="G107" s="713" t="s">
        <v>17</v>
      </c>
      <c r="H107" s="713" t="s">
        <v>59</v>
      </c>
      <c r="I107" s="714"/>
      <c r="J107" s="908">
        <v>397</v>
      </c>
      <c r="K107" s="799">
        <v>2196</v>
      </c>
      <c r="L107" s="715"/>
      <c r="M107" s="715">
        <v>397</v>
      </c>
      <c r="N107" s="716"/>
      <c r="O107" s="716"/>
      <c r="P107" s="716"/>
      <c r="Q107" s="716"/>
      <c r="R107" s="716"/>
      <c r="S107" s="716"/>
      <c r="T107" s="717"/>
      <c r="U107" s="716"/>
      <c r="V107" s="716"/>
      <c r="W107" s="716"/>
      <c r="X107" s="716"/>
      <c r="Y107" s="716"/>
      <c r="Z107" s="716"/>
      <c r="AA107" s="716"/>
      <c r="AB107" s="716"/>
      <c r="AC107" s="716"/>
      <c r="AD107" s="709">
        <f>IF(NFI_Expiration=1,IF($A107&lt;VLOOKUP(I$5,NFI,5,0),1,0)*Data_NFI_t[[#This Row],[Hygiene Kit]],0)</f>
        <v>0</v>
      </c>
      <c r="AE107" s="709">
        <f>IF(NFI_Expiration=1,IF($A107&lt;VLOOKUP(L$5,NFI,5,0),1,0)*Data_NFI_t[[#This Row],[NFI Core Kit]],0)</f>
        <v>0</v>
      </c>
      <c r="AF107" s="710">
        <f>IF(NFI_Expiration=1,IF($A107&lt;VLOOKUP(M$5,NFI,5,0),1,0)*Data_NFI_t[[#This Row],[Sanitary Kit]],0)</f>
        <v>0</v>
      </c>
      <c r="AG107" s="1055">
        <f>IF(NFI_Expiration=1,IF($A107&lt;VLOOKUP(AC$5,NFI,5,0),1,0)*Data_NFI_t[[#This Row],[Rope]],0)</f>
        <v>0</v>
      </c>
      <c r="AH107" s="710">
        <f>IF(NFI_Expiration=1,IF($A107&lt;VLOOKUP(N$5,NFI,5,0),1,0)*Data_NFI_t[[#This Row],[Mosquito net]],0)</f>
        <v>0</v>
      </c>
      <c r="AI107" s="710">
        <f>IF(NFI_Expiration=1,IF($A107&lt;VLOOKUP(O$5,NFI,5,0),1,0)*Data_NFI_t[[#This Row],[Tarpaulin]],0)</f>
        <v>0</v>
      </c>
      <c r="AJ107" s="710">
        <f>IF(NFI_Expiration=1,IF($A107&lt;VLOOKUP(P$5,NFI,5,0),1,0)*Data_NFI_t[[#This Row],[Blanket]],0)</f>
        <v>0</v>
      </c>
      <c r="AK107" s="710">
        <f>IF(NFI_Expiration=1,IF($A107&lt;VLOOKUP(Q$5,NFI,5,0),1,0)*Data_NFI_t[[#This Row],[Kitchen Set]],0)</f>
        <v>0</v>
      </c>
      <c r="AL107" s="710">
        <f>IF(NFI_Expiration=1,IF($A107&lt;VLOOKUP(R$5,NFI,5,0),1,0)*Data_NFI_t[[#This Row],[Complementary Kit]],0)</f>
        <v>0</v>
      </c>
      <c r="AM107" s="710">
        <f>IF(NFI_Expiration=1,IF($A107&lt;VLOOKUP(S$5,NFI,5,0),1,0)*Data_NFI_t[[#This Row],[Plastic Bucket]],0)</f>
        <v>0</v>
      </c>
      <c r="AN107" s="709">
        <f>IF(NFI_Expiration=1,IF($A107&lt;VLOOKUP(T$5,NFI,5,0),1,0)*Data_NFI_t[[#This Row],[Jerry Can]],0)</f>
        <v>0</v>
      </c>
      <c r="AO107" s="709">
        <f>IF(NFI_Expiration=1,IF($A107&lt;VLOOKUP(U$5,NFI,5,0),1,0)*Data_NFI_t[[#This Row],[Plastic Mat]],0)</f>
        <v>0</v>
      </c>
      <c r="AP107" s="709">
        <f>IF(NFI_Expiration=1,IF($A107&lt;VLOOKUP(V$5,NFI,5,0),1,0)*Data_NFI_t[[#This Row],[Adult Clothes]],0)</f>
        <v>0</v>
      </c>
      <c r="AQ107" s="709">
        <f>IF(NFI_Expiration=1,IF($A107&lt;VLOOKUP(W$5,NFI,5,0),1,0)*Data_NFI_t[[#This Row],[Children Clothes]],0)</f>
        <v>0</v>
      </c>
      <c r="AR107" s="709">
        <f>IF(NFI_Expiration=1,IF($A107&lt;VLOOKUP(X$5,NFI,5,0),1,0)*Data_NFI_t[[#This Row],[Sewing Kit]],0)</f>
        <v>0</v>
      </c>
      <c r="AS107" s="709">
        <f>IF(NFI_Expiration=1,IF($A107&lt;VLOOKUP(X$5,NFI,5,0),1,0)*Data_NFI_t[[#This Row],[Solar Lantern]],0)</f>
        <v>0</v>
      </c>
      <c r="AT107" s="105" t="str">
        <f ca="1">IFERROR(OFFSET(Camp_List[P_Code],MATCH(Data_NFI_t[[#This Row],[Camp Name]],Camp_List[Camp Name],0)-1,0,1,1),"")</f>
        <v>MMR012CMP039</v>
      </c>
      <c r="AU107" s="412" t="str">
        <f ca="1">IFERROR(OFFSET(Camp_List[Status],MATCH(Data_NFI_t[[#This Row],[Camp Name]],Camp_List[Camp Name],0)-1,0,1,1),"")</f>
        <v>Open</v>
      </c>
      <c r="AV107" s="105"/>
      <c r="AY107" s="747"/>
    </row>
    <row r="108" spans="1:51" s="745" customFormat="1" ht="18.75" customHeight="1" x14ac:dyDescent="0.25">
      <c r="A108" s="711">
        <f t="shared" si="4"/>
        <v>17.233333333333334</v>
      </c>
      <c r="B108" s="712">
        <f>YEAR(Data_NFI_t[[#This Row],[Distribution Date]])</f>
        <v>2017</v>
      </c>
      <c r="C108" s="904">
        <v>42917</v>
      </c>
      <c r="D108" s="889" t="s">
        <v>273</v>
      </c>
      <c r="E108" s="889" t="s">
        <v>273</v>
      </c>
      <c r="F108" s="889" t="s">
        <v>7</v>
      </c>
      <c r="G108" s="713" t="s">
        <v>17</v>
      </c>
      <c r="H108" s="713" t="s">
        <v>586</v>
      </c>
      <c r="I108" s="714"/>
      <c r="J108" s="800">
        <v>1825</v>
      </c>
      <c r="K108" s="800">
        <v>10038</v>
      </c>
      <c r="L108" s="715"/>
      <c r="M108" s="715"/>
      <c r="N108" s="716"/>
      <c r="O108" s="716"/>
      <c r="P108" s="716"/>
      <c r="Q108" s="716"/>
      <c r="R108" s="716"/>
      <c r="S108" s="716"/>
      <c r="T108" s="717"/>
      <c r="U108" s="716"/>
      <c r="V108" s="716"/>
      <c r="W108" s="716"/>
      <c r="X108" s="716"/>
      <c r="Y108" s="716"/>
      <c r="Z108" s="716"/>
      <c r="AA108" s="716"/>
      <c r="AB108" s="716">
        <v>2770</v>
      </c>
      <c r="AC108" s="716"/>
      <c r="AD108" s="709">
        <f>IF(NFI_Expiration=1,IF($A108&lt;VLOOKUP(I$5,NFI,5,0),1,0)*Data_NFI_t[[#This Row],[Hygiene Kit]],0)</f>
        <v>0</v>
      </c>
      <c r="AE108" s="709">
        <f>IF(NFI_Expiration=1,IF($A108&lt;VLOOKUP(L$5,NFI,5,0),1,0)*Data_NFI_t[[#This Row],[NFI Core Kit]],0)</f>
        <v>0</v>
      </c>
      <c r="AF108" s="710">
        <f>IF(NFI_Expiration=1,IF($A108&lt;VLOOKUP(M$5,NFI,5,0),1,0)*Data_NFI_t[[#This Row],[Sanitary Kit]],0)</f>
        <v>0</v>
      </c>
      <c r="AG108" s="1055">
        <f>IF(NFI_Expiration=1,IF($A108&lt;VLOOKUP(AC$5,NFI,5,0),1,0)*Data_NFI_t[[#This Row],[Rope]],0)</f>
        <v>0</v>
      </c>
      <c r="AH108" s="710">
        <f>IF(NFI_Expiration=1,IF($A108&lt;VLOOKUP(N$5,NFI,5,0),1,0)*Data_NFI_t[[#This Row],[Mosquito net]],0)</f>
        <v>0</v>
      </c>
      <c r="AI108" s="710">
        <f>IF(NFI_Expiration=1,IF($A108&lt;VLOOKUP(O$5,NFI,5,0),1,0)*Data_NFI_t[[#This Row],[Tarpaulin]],0)</f>
        <v>0</v>
      </c>
      <c r="AJ108" s="710">
        <f>IF(NFI_Expiration=1,IF($A108&lt;VLOOKUP(P$5,NFI,5,0),1,0)*Data_NFI_t[[#This Row],[Blanket]],0)</f>
        <v>0</v>
      </c>
      <c r="AK108" s="710">
        <f>IF(NFI_Expiration=1,IF($A108&lt;VLOOKUP(Q$5,NFI,5,0),1,0)*Data_NFI_t[[#This Row],[Kitchen Set]],0)</f>
        <v>0</v>
      </c>
      <c r="AL108" s="710">
        <f>IF(NFI_Expiration=1,IF($A108&lt;VLOOKUP(R$5,NFI,5,0),1,0)*Data_NFI_t[[#This Row],[Complementary Kit]],0)</f>
        <v>0</v>
      </c>
      <c r="AM108" s="710">
        <f>IF(NFI_Expiration=1,IF($A108&lt;VLOOKUP(S$5,NFI,5,0),1,0)*Data_NFI_t[[#This Row],[Plastic Bucket]],0)</f>
        <v>0</v>
      </c>
      <c r="AN108" s="709">
        <f>IF(NFI_Expiration=1,IF($A108&lt;VLOOKUP(T$5,NFI,5,0),1,0)*Data_NFI_t[[#This Row],[Jerry Can]],0)</f>
        <v>0</v>
      </c>
      <c r="AO108" s="709">
        <f>IF(NFI_Expiration=1,IF($A108&lt;VLOOKUP(U$5,NFI,5,0),1,0)*Data_NFI_t[[#This Row],[Plastic Mat]],0)</f>
        <v>0</v>
      </c>
      <c r="AP108" s="709">
        <f>IF(NFI_Expiration=1,IF($A108&lt;VLOOKUP(V$5,NFI,5,0),1,0)*Data_NFI_t[[#This Row],[Adult Clothes]],0)</f>
        <v>0</v>
      </c>
      <c r="AQ108" s="709">
        <f>IF(NFI_Expiration=1,IF($A108&lt;VLOOKUP(W$5,NFI,5,0),1,0)*Data_NFI_t[[#This Row],[Children Clothes]],0)</f>
        <v>0</v>
      </c>
      <c r="AR108" s="709">
        <f>IF(NFI_Expiration=1,IF($A108&lt;VLOOKUP(X$5,NFI,5,0),1,0)*Data_NFI_t[[#This Row],[Sewing Kit]],0)</f>
        <v>0</v>
      </c>
      <c r="AS108" s="709">
        <f>IF(NFI_Expiration=1,IF($A108&lt;VLOOKUP(X$5,NFI,5,0),1,0)*Data_NFI_t[[#This Row],[Solar Lantern]],0)</f>
        <v>0</v>
      </c>
      <c r="AT108" s="105" t="str">
        <f ca="1">IFERROR(OFFSET(Camp_List[P_Code],MATCH(Data_NFI_t[[#This Row],[Camp Name]],Camp_List[Camp Name],0)-1,0,1,1),"")</f>
        <v>MMR012CMP115</v>
      </c>
      <c r="AU108" s="412" t="str">
        <f ca="1">IFERROR(OFFSET(Camp_List[Status],MATCH(Data_NFI_t[[#This Row],[Camp Name]],Camp_List[Camp Name],0)-1,0,1,1),"")</f>
        <v>Open</v>
      </c>
      <c r="AV108" s="105"/>
      <c r="AY108" s="747"/>
    </row>
    <row r="109" spans="1:51" s="745" customFormat="1" ht="18.75" customHeight="1" x14ac:dyDescent="0.25">
      <c r="A109" s="711">
        <f t="shared" si="4"/>
        <v>17.233333333333334</v>
      </c>
      <c r="B109" s="712">
        <f>YEAR(Data_NFI_t[[#This Row],[Distribution Date]])</f>
        <v>2017</v>
      </c>
      <c r="C109" s="904">
        <v>42917</v>
      </c>
      <c r="D109" s="889" t="s">
        <v>273</v>
      </c>
      <c r="E109" s="889" t="s">
        <v>273</v>
      </c>
      <c r="F109" s="889" t="s">
        <v>7</v>
      </c>
      <c r="G109" s="713" t="s">
        <v>17</v>
      </c>
      <c r="H109" s="713" t="s">
        <v>61</v>
      </c>
      <c r="I109" s="714"/>
      <c r="J109" s="800">
        <v>319</v>
      </c>
      <c r="K109" s="800">
        <v>1755</v>
      </c>
      <c r="L109" s="715"/>
      <c r="M109" s="715"/>
      <c r="N109" s="716"/>
      <c r="O109" s="716"/>
      <c r="P109" s="716"/>
      <c r="Q109" s="716"/>
      <c r="R109" s="716"/>
      <c r="S109" s="716"/>
      <c r="T109" s="717"/>
      <c r="U109" s="716"/>
      <c r="V109" s="716"/>
      <c r="W109" s="716"/>
      <c r="X109" s="716"/>
      <c r="Y109" s="716"/>
      <c r="Z109" s="716"/>
      <c r="AA109" s="716"/>
      <c r="AB109" s="716">
        <v>957</v>
      </c>
      <c r="AC109" s="716"/>
      <c r="AD109" s="709">
        <f>IF(NFI_Expiration=1,IF($A109&lt;VLOOKUP(I$5,NFI,5,0),1,0)*Data_NFI_t[[#This Row],[Hygiene Kit]],0)</f>
        <v>0</v>
      </c>
      <c r="AE109" s="709">
        <f>IF(NFI_Expiration=1,IF($A109&lt;VLOOKUP(L$5,NFI,5,0),1,0)*Data_NFI_t[[#This Row],[NFI Core Kit]],0)</f>
        <v>0</v>
      </c>
      <c r="AF109" s="710">
        <f>IF(NFI_Expiration=1,IF($A109&lt;VLOOKUP(M$5,NFI,5,0),1,0)*Data_NFI_t[[#This Row],[Sanitary Kit]],0)</f>
        <v>0</v>
      </c>
      <c r="AG109" s="1055">
        <f>IF(NFI_Expiration=1,IF($A109&lt;VLOOKUP(AC$5,NFI,5,0),1,0)*Data_NFI_t[[#This Row],[Rope]],0)</f>
        <v>0</v>
      </c>
      <c r="AH109" s="710">
        <f>IF(NFI_Expiration=1,IF($A109&lt;VLOOKUP(N$5,NFI,5,0),1,0)*Data_NFI_t[[#This Row],[Mosquito net]],0)</f>
        <v>0</v>
      </c>
      <c r="AI109" s="710">
        <f>IF(NFI_Expiration=1,IF($A109&lt;VLOOKUP(O$5,NFI,5,0),1,0)*Data_NFI_t[[#This Row],[Tarpaulin]],0)</f>
        <v>0</v>
      </c>
      <c r="AJ109" s="710">
        <f>IF(NFI_Expiration=1,IF($A109&lt;VLOOKUP(P$5,NFI,5,0),1,0)*Data_NFI_t[[#This Row],[Blanket]],0)</f>
        <v>0</v>
      </c>
      <c r="AK109" s="710">
        <f>IF(NFI_Expiration=1,IF($A109&lt;VLOOKUP(Q$5,NFI,5,0),1,0)*Data_NFI_t[[#This Row],[Kitchen Set]],0)</f>
        <v>0</v>
      </c>
      <c r="AL109" s="710">
        <f>IF(NFI_Expiration=1,IF($A109&lt;VLOOKUP(R$5,NFI,5,0),1,0)*Data_NFI_t[[#This Row],[Complementary Kit]],0)</f>
        <v>0</v>
      </c>
      <c r="AM109" s="710">
        <f>IF(NFI_Expiration=1,IF($A109&lt;VLOOKUP(S$5,NFI,5,0),1,0)*Data_NFI_t[[#This Row],[Plastic Bucket]],0)</f>
        <v>0</v>
      </c>
      <c r="AN109" s="709">
        <f>IF(NFI_Expiration=1,IF($A109&lt;VLOOKUP(T$5,NFI,5,0),1,0)*Data_NFI_t[[#This Row],[Jerry Can]],0)</f>
        <v>0</v>
      </c>
      <c r="AO109" s="709">
        <f>IF(NFI_Expiration=1,IF($A109&lt;VLOOKUP(U$5,NFI,5,0),1,0)*Data_NFI_t[[#This Row],[Plastic Mat]],0)</f>
        <v>0</v>
      </c>
      <c r="AP109" s="709">
        <f>IF(NFI_Expiration=1,IF($A109&lt;VLOOKUP(V$5,NFI,5,0),1,0)*Data_NFI_t[[#This Row],[Adult Clothes]],0)</f>
        <v>0</v>
      </c>
      <c r="AQ109" s="709">
        <f>IF(NFI_Expiration=1,IF($A109&lt;VLOOKUP(W$5,NFI,5,0),1,0)*Data_NFI_t[[#This Row],[Children Clothes]],0)</f>
        <v>0</v>
      </c>
      <c r="AR109" s="709">
        <f>IF(NFI_Expiration=1,IF($A109&lt;VLOOKUP(X$5,NFI,5,0),1,0)*Data_NFI_t[[#This Row],[Sewing Kit]],0)</f>
        <v>0</v>
      </c>
      <c r="AS109" s="709">
        <f>IF(NFI_Expiration=1,IF($A109&lt;VLOOKUP(X$5,NFI,5,0),1,0)*Data_NFI_t[[#This Row],[Solar Lantern]],0)</f>
        <v>0</v>
      </c>
      <c r="AT109" s="105" t="str">
        <f ca="1">IFERROR(OFFSET(Camp_List[P_Code],MATCH(Data_NFI_t[[#This Row],[Camp Name]],Camp_List[Camp Name],0)-1,0,1,1),"")</f>
        <v>MMR012CMP041</v>
      </c>
      <c r="AU109" s="412" t="str">
        <f ca="1">IFERROR(OFFSET(Camp_List[Status],MATCH(Data_NFI_t[[#This Row],[Camp Name]],Camp_List[Camp Name],0)-1,0,1,1),"")</f>
        <v>Open</v>
      </c>
      <c r="AV109" s="105"/>
      <c r="AY109" s="747"/>
    </row>
    <row r="110" spans="1:51" s="745" customFormat="1" ht="18.75" customHeight="1" x14ac:dyDescent="0.25">
      <c r="A110" s="711">
        <f t="shared" si="4"/>
        <v>17.233333333333334</v>
      </c>
      <c r="B110" s="712">
        <f>YEAR(Data_NFI_t[[#This Row],[Distribution Date]])</f>
        <v>2017</v>
      </c>
      <c r="C110" s="904">
        <v>42917</v>
      </c>
      <c r="D110" s="889" t="s">
        <v>273</v>
      </c>
      <c r="E110" s="889" t="s">
        <v>273</v>
      </c>
      <c r="F110" s="889" t="s">
        <v>7</v>
      </c>
      <c r="G110" s="713" t="s">
        <v>17</v>
      </c>
      <c r="H110" s="713" t="s">
        <v>65</v>
      </c>
      <c r="I110" s="714"/>
      <c r="J110" s="800">
        <v>164</v>
      </c>
      <c r="K110" s="800">
        <v>902</v>
      </c>
      <c r="L110" s="715"/>
      <c r="M110" s="715"/>
      <c r="N110" s="716"/>
      <c r="O110" s="716"/>
      <c r="P110" s="716"/>
      <c r="Q110" s="716"/>
      <c r="R110" s="716"/>
      <c r="S110" s="716"/>
      <c r="T110" s="717"/>
      <c r="U110" s="716"/>
      <c r="V110" s="716"/>
      <c r="W110" s="716"/>
      <c r="X110" s="716"/>
      <c r="Y110" s="716"/>
      <c r="Z110" s="716"/>
      <c r="AA110" s="716"/>
      <c r="AB110" s="716">
        <v>492</v>
      </c>
      <c r="AC110" s="716"/>
      <c r="AD110" s="709">
        <f>IF(NFI_Expiration=1,IF($A110&lt;VLOOKUP(I$5,NFI,5,0),1,0)*Data_NFI_t[[#This Row],[Hygiene Kit]],0)</f>
        <v>0</v>
      </c>
      <c r="AE110" s="709">
        <f>IF(NFI_Expiration=1,IF($A110&lt;VLOOKUP(L$5,NFI,5,0),1,0)*Data_NFI_t[[#This Row],[NFI Core Kit]],0)</f>
        <v>0</v>
      </c>
      <c r="AF110" s="710">
        <f>IF(NFI_Expiration=1,IF($A110&lt;VLOOKUP(M$5,NFI,5,0),1,0)*Data_NFI_t[[#This Row],[Sanitary Kit]],0)</f>
        <v>0</v>
      </c>
      <c r="AG110" s="1055">
        <f>IF(NFI_Expiration=1,IF($A110&lt;VLOOKUP(AC$5,NFI,5,0),1,0)*Data_NFI_t[[#This Row],[Rope]],0)</f>
        <v>0</v>
      </c>
      <c r="AH110" s="710">
        <f>IF(NFI_Expiration=1,IF($A110&lt;VLOOKUP(N$5,NFI,5,0),1,0)*Data_NFI_t[[#This Row],[Mosquito net]],0)</f>
        <v>0</v>
      </c>
      <c r="AI110" s="710">
        <f>IF(NFI_Expiration=1,IF($A110&lt;VLOOKUP(O$5,NFI,5,0),1,0)*Data_NFI_t[[#This Row],[Tarpaulin]],0)</f>
        <v>0</v>
      </c>
      <c r="AJ110" s="710">
        <f>IF(NFI_Expiration=1,IF($A110&lt;VLOOKUP(P$5,NFI,5,0),1,0)*Data_NFI_t[[#This Row],[Blanket]],0)</f>
        <v>0</v>
      </c>
      <c r="AK110" s="710">
        <f>IF(NFI_Expiration=1,IF($A110&lt;VLOOKUP(Q$5,NFI,5,0),1,0)*Data_NFI_t[[#This Row],[Kitchen Set]],0)</f>
        <v>0</v>
      </c>
      <c r="AL110" s="710">
        <f>IF(NFI_Expiration=1,IF($A110&lt;VLOOKUP(R$5,NFI,5,0),1,0)*Data_NFI_t[[#This Row],[Complementary Kit]],0)</f>
        <v>0</v>
      </c>
      <c r="AM110" s="710">
        <f>IF(NFI_Expiration=1,IF($A110&lt;VLOOKUP(S$5,NFI,5,0),1,0)*Data_NFI_t[[#This Row],[Plastic Bucket]],0)</f>
        <v>0</v>
      </c>
      <c r="AN110" s="709">
        <f>IF(NFI_Expiration=1,IF($A110&lt;VLOOKUP(T$5,NFI,5,0),1,0)*Data_NFI_t[[#This Row],[Jerry Can]],0)</f>
        <v>0</v>
      </c>
      <c r="AO110" s="709">
        <f>IF(NFI_Expiration=1,IF($A110&lt;VLOOKUP(U$5,NFI,5,0),1,0)*Data_NFI_t[[#This Row],[Plastic Mat]],0)</f>
        <v>0</v>
      </c>
      <c r="AP110" s="709">
        <f>IF(NFI_Expiration=1,IF($A110&lt;VLOOKUP(V$5,NFI,5,0),1,0)*Data_NFI_t[[#This Row],[Adult Clothes]],0)</f>
        <v>0</v>
      </c>
      <c r="AQ110" s="709">
        <f>IF(NFI_Expiration=1,IF($A110&lt;VLOOKUP(W$5,NFI,5,0),1,0)*Data_NFI_t[[#This Row],[Children Clothes]],0)</f>
        <v>0</v>
      </c>
      <c r="AR110" s="709">
        <f>IF(NFI_Expiration=1,IF($A110&lt;VLOOKUP(X$5,NFI,5,0),1,0)*Data_NFI_t[[#This Row],[Sewing Kit]],0)</f>
        <v>0</v>
      </c>
      <c r="AS110" s="709">
        <f>IF(NFI_Expiration=1,IF($A110&lt;VLOOKUP(X$5,NFI,5,0),1,0)*Data_NFI_t[[#This Row],[Solar Lantern]],0)</f>
        <v>0</v>
      </c>
      <c r="AT110" s="105" t="str">
        <f ca="1">IFERROR(OFFSET(Camp_List[P_Code],MATCH(Data_NFI_t[[#This Row],[Camp Name]],Camp_List[Camp Name],0)-1,0,1,1),"")</f>
        <v>MMR012CMP045</v>
      </c>
      <c r="AU110" s="412" t="str">
        <f ca="1">IFERROR(OFFSET(Camp_List[Status],MATCH(Data_NFI_t[[#This Row],[Camp Name]],Camp_List[Camp Name],0)-1,0,1,1),"")</f>
        <v>Open</v>
      </c>
      <c r="AV110" s="105"/>
      <c r="AY110" s="747"/>
    </row>
    <row r="111" spans="1:51" s="745" customFormat="1" ht="18.75" customHeight="1" x14ac:dyDescent="0.25">
      <c r="A111" s="711">
        <f t="shared" si="4"/>
        <v>17.233333333333334</v>
      </c>
      <c r="B111" s="712">
        <f>YEAR(Data_NFI_t[[#This Row],[Distribution Date]])</f>
        <v>2017</v>
      </c>
      <c r="C111" s="904">
        <v>42917</v>
      </c>
      <c r="D111" s="889" t="s">
        <v>273</v>
      </c>
      <c r="E111" s="889" t="s">
        <v>273</v>
      </c>
      <c r="F111" s="889" t="s">
        <v>7</v>
      </c>
      <c r="G111" s="713" t="s">
        <v>17</v>
      </c>
      <c r="H111" s="713" t="s">
        <v>582</v>
      </c>
      <c r="I111" s="714"/>
      <c r="J111" s="800">
        <v>507</v>
      </c>
      <c r="K111" s="800">
        <v>2779</v>
      </c>
      <c r="L111" s="715"/>
      <c r="M111" s="715"/>
      <c r="N111" s="716"/>
      <c r="O111" s="716"/>
      <c r="P111" s="716"/>
      <c r="Q111" s="716"/>
      <c r="R111" s="716"/>
      <c r="S111" s="716"/>
      <c r="T111" s="717"/>
      <c r="U111" s="716"/>
      <c r="V111" s="716"/>
      <c r="W111" s="716"/>
      <c r="X111" s="716"/>
      <c r="Y111" s="716"/>
      <c r="Z111" s="716"/>
      <c r="AA111" s="716"/>
      <c r="AB111" s="716">
        <v>1521</v>
      </c>
      <c r="AC111" s="716"/>
      <c r="AD111" s="709">
        <f>IF(NFI_Expiration=1,IF($A111&lt;VLOOKUP(I$5,NFI,5,0),1,0)*Data_NFI_t[[#This Row],[Hygiene Kit]],0)</f>
        <v>0</v>
      </c>
      <c r="AE111" s="709">
        <f>IF(NFI_Expiration=1,IF($A111&lt;VLOOKUP(L$5,NFI,5,0),1,0)*Data_NFI_t[[#This Row],[NFI Core Kit]],0)</f>
        <v>0</v>
      </c>
      <c r="AF111" s="710">
        <f>IF(NFI_Expiration=1,IF($A111&lt;VLOOKUP(M$5,NFI,5,0),1,0)*Data_NFI_t[[#This Row],[Sanitary Kit]],0)</f>
        <v>0</v>
      </c>
      <c r="AG111" s="1055">
        <f>IF(NFI_Expiration=1,IF($A111&lt;VLOOKUP(AC$5,NFI,5,0),1,0)*Data_NFI_t[[#This Row],[Rope]],0)</f>
        <v>0</v>
      </c>
      <c r="AH111" s="710">
        <f>IF(NFI_Expiration=1,IF($A111&lt;VLOOKUP(N$5,NFI,5,0),1,0)*Data_NFI_t[[#This Row],[Mosquito net]],0)</f>
        <v>0</v>
      </c>
      <c r="AI111" s="710">
        <f>IF(NFI_Expiration=1,IF($A111&lt;VLOOKUP(O$5,NFI,5,0),1,0)*Data_NFI_t[[#This Row],[Tarpaulin]],0)</f>
        <v>0</v>
      </c>
      <c r="AJ111" s="710">
        <f>IF(NFI_Expiration=1,IF($A111&lt;VLOOKUP(P$5,NFI,5,0),1,0)*Data_NFI_t[[#This Row],[Blanket]],0)</f>
        <v>0</v>
      </c>
      <c r="AK111" s="710">
        <f>IF(NFI_Expiration=1,IF($A111&lt;VLOOKUP(Q$5,NFI,5,0),1,0)*Data_NFI_t[[#This Row],[Kitchen Set]],0)</f>
        <v>0</v>
      </c>
      <c r="AL111" s="710">
        <f>IF(NFI_Expiration=1,IF($A111&lt;VLOOKUP(R$5,NFI,5,0),1,0)*Data_NFI_t[[#This Row],[Complementary Kit]],0)</f>
        <v>0</v>
      </c>
      <c r="AM111" s="710">
        <f>IF(NFI_Expiration=1,IF($A111&lt;VLOOKUP(S$5,NFI,5,0),1,0)*Data_NFI_t[[#This Row],[Plastic Bucket]],0)</f>
        <v>0</v>
      </c>
      <c r="AN111" s="709">
        <f>IF(NFI_Expiration=1,IF($A111&lt;VLOOKUP(T$5,NFI,5,0),1,0)*Data_NFI_t[[#This Row],[Jerry Can]],0)</f>
        <v>0</v>
      </c>
      <c r="AO111" s="709">
        <f>IF(NFI_Expiration=1,IF($A111&lt;VLOOKUP(U$5,NFI,5,0),1,0)*Data_NFI_t[[#This Row],[Plastic Mat]],0)</f>
        <v>0</v>
      </c>
      <c r="AP111" s="709">
        <f>IF(NFI_Expiration=1,IF($A111&lt;VLOOKUP(V$5,NFI,5,0),1,0)*Data_NFI_t[[#This Row],[Adult Clothes]],0)</f>
        <v>0</v>
      </c>
      <c r="AQ111" s="709">
        <f>IF(NFI_Expiration=1,IF($A111&lt;VLOOKUP(W$5,NFI,5,0),1,0)*Data_NFI_t[[#This Row],[Children Clothes]],0)</f>
        <v>0</v>
      </c>
      <c r="AR111" s="709">
        <f>IF(NFI_Expiration=1,IF($A111&lt;VLOOKUP(X$5,NFI,5,0),1,0)*Data_NFI_t[[#This Row],[Sewing Kit]],0)</f>
        <v>0</v>
      </c>
      <c r="AS111" s="709">
        <f>IF(NFI_Expiration=1,IF($A111&lt;VLOOKUP(X$5,NFI,5,0),1,0)*Data_NFI_t[[#This Row],[Solar Lantern]],0)</f>
        <v>0</v>
      </c>
      <c r="AT111" s="105" t="str">
        <f ca="1">IFERROR(OFFSET(Camp_List[P_Code],MATCH(Data_NFI_t[[#This Row],[Camp Name]],Camp_List[Camp Name],0)-1,0,1,1),"")</f>
        <v>MMR012CMP114</v>
      </c>
      <c r="AU111" s="412" t="str">
        <f ca="1">IFERROR(OFFSET(Camp_List[Status],MATCH(Data_NFI_t[[#This Row],[Camp Name]],Camp_List[Camp Name],0)-1,0,1,1),"")</f>
        <v>Open</v>
      </c>
      <c r="AV111" s="105"/>
      <c r="AY111" s="747"/>
    </row>
    <row r="112" spans="1:51" s="745" customFormat="1" ht="18.75" customHeight="1" x14ac:dyDescent="0.25">
      <c r="A112" s="711">
        <f t="shared" si="4"/>
        <v>17.233333333333334</v>
      </c>
      <c r="B112" s="712">
        <f>YEAR(Data_NFI_t[[#This Row],[Distribution Date]])</f>
        <v>2017</v>
      </c>
      <c r="C112" s="904">
        <v>42917</v>
      </c>
      <c r="D112" s="889" t="s">
        <v>273</v>
      </c>
      <c r="E112" s="889" t="s">
        <v>1117</v>
      </c>
      <c r="F112" s="889" t="s">
        <v>7</v>
      </c>
      <c r="G112" s="713" t="s">
        <v>17</v>
      </c>
      <c r="H112" s="713" t="s">
        <v>581</v>
      </c>
      <c r="I112" s="714"/>
      <c r="J112" s="800">
        <v>347</v>
      </c>
      <c r="K112" s="800">
        <v>1909</v>
      </c>
      <c r="L112" s="715"/>
      <c r="M112" s="715"/>
      <c r="N112" s="716"/>
      <c r="O112" s="716"/>
      <c r="P112" s="716"/>
      <c r="Q112" s="716"/>
      <c r="R112" s="716"/>
      <c r="S112" s="716"/>
      <c r="T112" s="717"/>
      <c r="U112" s="716"/>
      <c r="V112" s="716"/>
      <c r="W112" s="716"/>
      <c r="X112" s="716"/>
      <c r="Y112" s="716"/>
      <c r="Z112" s="716"/>
      <c r="AA112" s="716"/>
      <c r="AB112" s="716">
        <v>1041</v>
      </c>
      <c r="AC112" s="716"/>
      <c r="AD112" s="709">
        <f>IF(NFI_Expiration=1,IF($A112&lt;VLOOKUP(I$5,NFI,5,0),1,0)*Data_NFI_t[[#This Row],[Hygiene Kit]],0)</f>
        <v>0</v>
      </c>
      <c r="AE112" s="709">
        <f>IF(NFI_Expiration=1,IF($A112&lt;VLOOKUP(L$5,NFI,5,0),1,0)*Data_NFI_t[[#This Row],[NFI Core Kit]],0)</f>
        <v>0</v>
      </c>
      <c r="AF112" s="710">
        <f>IF(NFI_Expiration=1,IF($A112&lt;VLOOKUP(M$5,NFI,5,0),1,0)*Data_NFI_t[[#This Row],[Sanitary Kit]],0)</f>
        <v>0</v>
      </c>
      <c r="AG112" s="1055">
        <f>IF(NFI_Expiration=1,IF($A112&lt;VLOOKUP(AC$5,NFI,5,0),1,0)*Data_NFI_t[[#This Row],[Rope]],0)</f>
        <v>0</v>
      </c>
      <c r="AH112" s="710">
        <f>IF(NFI_Expiration=1,IF($A112&lt;VLOOKUP(N$5,NFI,5,0),1,0)*Data_NFI_t[[#This Row],[Mosquito net]],0)</f>
        <v>0</v>
      </c>
      <c r="AI112" s="710">
        <f>IF(NFI_Expiration=1,IF($A112&lt;VLOOKUP(O$5,NFI,5,0),1,0)*Data_NFI_t[[#This Row],[Tarpaulin]],0)</f>
        <v>0</v>
      </c>
      <c r="AJ112" s="710">
        <f>IF(NFI_Expiration=1,IF($A112&lt;VLOOKUP(P$5,NFI,5,0),1,0)*Data_NFI_t[[#This Row],[Blanket]],0)</f>
        <v>0</v>
      </c>
      <c r="AK112" s="710">
        <f>IF(NFI_Expiration=1,IF($A112&lt;VLOOKUP(Q$5,NFI,5,0),1,0)*Data_NFI_t[[#This Row],[Kitchen Set]],0)</f>
        <v>0</v>
      </c>
      <c r="AL112" s="710">
        <f>IF(NFI_Expiration=1,IF($A112&lt;VLOOKUP(R$5,NFI,5,0),1,0)*Data_NFI_t[[#This Row],[Complementary Kit]],0)</f>
        <v>0</v>
      </c>
      <c r="AM112" s="710">
        <f>IF(NFI_Expiration=1,IF($A112&lt;VLOOKUP(S$5,NFI,5,0),1,0)*Data_NFI_t[[#This Row],[Plastic Bucket]],0)</f>
        <v>0</v>
      </c>
      <c r="AN112" s="709">
        <f>IF(NFI_Expiration=1,IF($A112&lt;VLOOKUP(T$5,NFI,5,0),1,0)*Data_NFI_t[[#This Row],[Jerry Can]],0)</f>
        <v>0</v>
      </c>
      <c r="AO112" s="709">
        <f>IF(NFI_Expiration=1,IF($A112&lt;VLOOKUP(U$5,NFI,5,0),1,0)*Data_NFI_t[[#This Row],[Plastic Mat]],0)</f>
        <v>0</v>
      </c>
      <c r="AP112" s="709">
        <f>IF(NFI_Expiration=1,IF($A112&lt;VLOOKUP(V$5,NFI,5,0),1,0)*Data_NFI_t[[#This Row],[Adult Clothes]],0)</f>
        <v>0</v>
      </c>
      <c r="AQ112" s="709">
        <f>IF(NFI_Expiration=1,IF($A112&lt;VLOOKUP(W$5,NFI,5,0),1,0)*Data_NFI_t[[#This Row],[Children Clothes]],0)</f>
        <v>0</v>
      </c>
      <c r="AR112" s="709">
        <f>IF(NFI_Expiration=1,IF($A112&lt;VLOOKUP(X$5,NFI,5,0),1,0)*Data_NFI_t[[#This Row],[Sewing Kit]],0)</f>
        <v>0</v>
      </c>
      <c r="AS112" s="709">
        <f>IF(NFI_Expiration=1,IF($A112&lt;VLOOKUP(X$5,NFI,5,0),1,0)*Data_NFI_t[[#This Row],[Solar Lantern]],0)</f>
        <v>0</v>
      </c>
      <c r="AT112" s="105" t="str">
        <f ca="1">IFERROR(OFFSET(Camp_List[P_Code],MATCH(Data_NFI_t[[#This Row],[Camp Name]],Camp_List[Camp Name],0)-1,0,1,1),"")</f>
        <v>MMR012CMP113</v>
      </c>
      <c r="AU112" s="412" t="str">
        <f ca="1">IFERROR(OFFSET(Camp_List[Status],MATCH(Data_NFI_t[[#This Row],[Camp Name]],Camp_List[Camp Name],0)-1,0,1,1),"")</f>
        <v>Open</v>
      </c>
      <c r="AV112" s="105"/>
      <c r="AY112" s="747"/>
    </row>
    <row r="113" spans="1:51" s="745" customFormat="1" ht="16.5" customHeight="1" x14ac:dyDescent="0.25">
      <c r="A113" s="711">
        <f t="shared" si="4"/>
        <v>17.566666666666666</v>
      </c>
      <c r="B113" s="712">
        <f>YEAR(Data_NFI_t[[#This Row],[Distribution Date]])</f>
        <v>2017</v>
      </c>
      <c r="C113" s="904">
        <v>42907</v>
      </c>
      <c r="D113" s="708" t="s">
        <v>270</v>
      </c>
      <c r="E113" s="708" t="s">
        <v>273</v>
      </c>
      <c r="F113" s="708" t="s">
        <v>7</v>
      </c>
      <c r="G113" s="713" t="s">
        <v>17</v>
      </c>
      <c r="H113" s="713" t="s">
        <v>586</v>
      </c>
      <c r="I113" s="714"/>
      <c r="J113" s="800">
        <v>521</v>
      </c>
      <c r="K113" s="800">
        <v>2865</v>
      </c>
      <c r="L113" s="715"/>
      <c r="M113" s="715"/>
      <c r="N113" s="716">
        <v>521</v>
      </c>
      <c r="O113" s="716">
        <v>521</v>
      </c>
      <c r="P113" s="716"/>
      <c r="Q113" s="716">
        <v>521</v>
      </c>
      <c r="R113" s="716"/>
      <c r="S113" s="716"/>
      <c r="T113" s="717">
        <v>521</v>
      </c>
      <c r="U113" s="716">
        <v>1563</v>
      </c>
      <c r="V113" s="716"/>
      <c r="W113" s="716"/>
      <c r="X113" s="716"/>
      <c r="Y113" s="716"/>
      <c r="Z113" s="716"/>
      <c r="AA113" s="716"/>
      <c r="AB113" s="716"/>
      <c r="AC113" s="716"/>
      <c r="AD113" s="709">
        <f>IF(NFI_Expiration=1,IF($A113&lt;VLOOKUP(I$5,NFI,5,0),1,0)*Data_NFI_t[[#This Row],[Hygiene Kit]],0)</f>
        <v>0</v>
      </c>
      <c r="AE113" s="709">
        <f>IF(NFI_Expiration=1,IF($A113&lt;VLOOKUP(L$5,NFI,5,0),1,0)*Data_NFI_t[[#This Row],[NFI Core Kit]],0)</f>
        <v>0</v>
      </c>
      <c r="AF113" s="710">
        <f>IF(NFI_Expiration=1,IF($A113&lt;VLOOKUP(M$5,NFI,5,0),1,0)*Data_NFI_t[[#This Row],[Sanitary Kit]],0)</f>
        <v>0</v>
      </c>
      <c r="AG113" s="1055">
        <f>IF(NFI_Expiration=1,IF($A113&lt;VLOOKUP(AC$5,NFI,5,0),1,0)*Data_NFI_t[[#This Row],[Rope]],0)</f>
        <v>0</v>
      </c>
      <c r="AH113" s="710">
        <f>IF(NFI_Expiration=1,IF($A113&lt;VLOOKUP(N$5,NFI,5,0),1,0)*Data_NFI_t[[#This Row],[Mosquito net]],0)</f>
        <v>0</v>
      </c>
      <c r="AI113" s="710">
        <f>IF(NFI_Expiration=1,IF($A113&lt;VLOOKUP(O$5,NFI,5,0),1,0)*Data_NFI_t[[#This Row],[Tarpaulin]],0)</f>
        <v>0</v>
      </c>
      <c r="AJ113" s="710">
        <f>IF(NFI_Expiration=1,IF($A113&lt;VLOOKUP(P$5,NFI,5,0),1,0)*Data_NFI_t[[#This Row],[Blanket]],0)</f>
        <v>0</v>
      </c>
      <c r="AK113" s="710">
        <f>IF(NFI_Expiration=1,IF($A113&lt;VLOOKUP(Q$5,NFI,5,0),1,0)*Data_NFI_t[[#This Row],[Kitchen Set]],0)</f>
        <v>0</v>
      </c>
      <c r="AL113" s="710">
        <f>IF(NFI_Expiration=1,IF($A113&lt;VLOOKUP(R$5,NFI,5,0),1,0)*Data_NFI_t[[#This Row],[Complementary Kit]],0)</f>
        <v>0</v>
      </c>
      <c r="AM113" s="710">
        <f>IF(NFI_Expiration=1,IF($A113&lt;VLOOKUP(S$5,NFI,5,0),1,0)*Data_NFI_t[[#This Row],[Plastic Bucket]],0)</f>
        <v>0</v>
      </c>
      <c r="AN113" s="709">
        <f>IF(NFI_Expiration=1,IF($A113&lt;VLOOKUP(T$5,NFI,5,0),1,0)*Data_NFI_t[[#This Row],[Jerry Can]],0)</f>
        <v>0</v>
      </c>
      <c r="AO113" s="709">
        <f>IF(NFI_Expiration=1,IF($A113&lt;VLOOKUP(U$5,NFI,5,0),1,0)*Data_NFI_t[[#This Row],[Plastic Mat]],0)</f>
        <v>0</v>
      </c>
      <c r="AP113" s="709">
        <f>IF(NFI_Expiration=1,IF($A113&lt;VLOOKUP(V$5,NFI,5,0),1,0)*Data_NFI_t[[#This Row],[Adult Clothes]],0)</f>
        <v>0</v>
      </c>
      <c r="AQ113" s="709">
        <f>IF(NFI_Expiration=1,IF($A113&lt;VLOOKUP(W$5,NFI,5,0),1,0)*Data_NFI_t[[#This Row],[Children Clothes]],0)</f>
        <v>0</v>
      </c>
      <c r="AR113" s="709">
        <f>IF(NFI_Expiration=1,IF($A113&lt;VLOOKUP(X$5,NFI,5,0),1,0)*Data_NFI_t[[#This Row],[Sewing Kit]],0)</f>
        <v>0</v>
      </c>
      <c r="AS113" s="709">
        <f>IF(NFI_Expiration=1,IF($A113&lt;VLOOKUP(X$5,NFI,5,0),1,0)*Data_NFI_t[[#This Row],[Solar Lantern]],0)</f>
        <v>0</v>
      </c>
      <c r="AT113" s="105" t="str">
        <f ca="1">IFERROR(OFFSET(Camp_List[P_Code],MATCH(Data_NFI_t[[#This Row],[Camp Name]],Camp_List[Camp Name],0)-1,0,1,1),"")</f>
        <v>MMR012CMP115</v>
      </c>
      <c r="AU113" s="412" t="str">
        <f ca="1">IFERROR(OFFSET(Camp_List[Status],MATCH(Data_NFI_t[[#This Row],[Camp Name]],Camp_List[Camp Name],0)-1,0,1,1),"")</f>
        <v>Open</v>
      </c>
      <c r="AV113" s="724" t="s">
        <v>1047</v>
      </c>
      <c r="AY113" s="747"/>
    </row>
    <row r="114" spans="1:51" s="745" customFormat="1" ht="16.5" customHeight="1" x14ac:dyDescent="0.25">
      <c r="A114" s="711">
        <f t="shared" si="4"/>
        <v>17.733333333333334</v>
      </c>
      <c r="B114" s="712">
        <f>YEAR(Data_NFI_t[[#This Row],[Distribution Date]])</f>
        <v>2017</v>
      </c>
      <c r="C114" s="904">
        <v>42902</v>
      </c>
      <c r="D114" s="708" t="s">
        <v>270</v>
      </c>
      <c r="E114" s="708" t="s">
        <v>273</v>
      </c>
      <c r="F114" s="708" t="s">
        <v>7</v>
      </c>
      <c r="G114" s="713" t="s">
        <v>17</v>
      </c>
      <c r="H114" s="713" t="s">
        <v>61</v>
      </c>
      <c r="I114" s="714"/>
      <c r="J114" s="802">
        <v>99</v>
      </c>
      <c r="K114" s="800">
        <v>544</v>
      </c>
      <c r="L114" s="715"/>
      <c r="M114" s="715"/>
      <c r="N114" s="716">
        <v>99</v>
      </c>
      <c r="O114" s="716">
        <v>99</v>
      </c>
      <c r="P114" s="716"/>
      <c r="Q114" s="716">
        <v>99</v>
      </c>
      <c r="R114" s="716"/>
      <c r="S114" s="716"/>
      <c r="T114" s="717">
        <v>99</v>
      </c>
      <c r="U114" s="716">
        <v>297</v>
      </c>
      <c r="V114" s="716"/>
      <c r="W114" s="716"/>
      <c r="X114" s="716"/>
      <c r="Y114" s="716"/>
      <c r="Z114" s="716"/>
      <c r="AA114" s="716"/>
      <c r="AB114" s="716"/>
      <c r="AC114" s="716"/>
      <c r="AD114" s="709">
        <f>IF(NFI_Expiration=1,IF($A114&lt;VLOOKUP(I$5,NFI,5,0),1,0)*Data_NFI_t[[#This Row],[Hygiene Kit]],0)</f>
        <v>0</v>
      </c>
      <c r="AE114" s="709">
        <f>IF(NFI_Expiration=1,IF($A114&lt;VLOOKUP(L$5,NFI,5,0),1,0)*Data_NFI_t[[#This Row],[NFI Core Kit]],0)</f>
        <v>0</v>
      </c>
      <c r="AF114" s="710">
        <f>IF(NFI_Expiration=1,IF($A114&lt;VLOOKUP(M$5,NFI,5,0),1,0)*Data_NFI_t[[#This Row],[Sanitary Kit]],0)</f>
        <v>0</v>
      </c>
      <c r="AG114" s="1055">
        <f>IF(NFI_Expiration=1,IF($A114&lt;VLOOKUP(AC$5,NFI,5,0),1,0)*Data_NFI_t[[#This Row],[Rope]],0)</f>
        <v>0</v>
      </c>
      <c r="AH114" s="710">
        <f>IF(NFI_Expiration=1,IF($A114&lt;VLOOKUP(N$5,NFI,5,0),1,0)*Data_NFI_t[[#This Row],[Mosquito net]],0)</f>
        <v>0</v>
      </c>
      <c r="AI114" s="710">
        <f>IF(NFI_Expiration=1,IF($A114&lt;VLOOKUP(O$5,NFI,5,0),1,0)*Data_NFI_t[[#This Row],[Tarpaulin]],0)</f>
        <v>0</v>
      </c>
      <c r="AJ114" s="710">
        <f>IF(NFI_Expiration=1,IF($A114&lt;VLOOKUP(P$5,NFI,5,0),1,0)*Data_NFI_t[[#This Row],[Blanket]],0)</f>
        <v>0</v>
      </c>
      <c r="AK114" s="710">
        <f>IF(NFI_Expiration=1,IF($A114&lt;VLOOKUP(Q$5,NFI,5,0),1,0)*Data_NFI_t[[#This Row],[Kitchen Set]],0)</f>
        <v>0</v>
      </c>
      <c r="AL114" s="710">
        <f>IF(NFI_Expiration=1,IF($A114&lt;VLOOKUP(R$5,NFI,5,0),1,0)*Data_NFI_t[[#This Row],[Complementary Kit]],0)</f>
        <v>0</v>
      </c>
      <c r="AM114" s="710">
        <f>IF(NFI_Expiration=1,IF($A114&lt;VLOOKUP(S$5,NFI,5,0),1,0)*Data_NFI_t[[#This Row],[Plastic Bucket]],0)</f>
        <v>0</v>
      </c>
      <c r="AN114" s="709">
        <f>IF(NFI_Expiration=1,IF($A114&lt;VLOOKUP(T$5,NFI,5,0),1,0)*Data_NFI_t[[#This Row],[Jerry Can]],0)</f>
        <v>0</v>
      </c>
      <c r="AO114" s="709">
        <f>IF(NFI_Expiration=1,IF($A114&lt;VLOOKUP(U$5,NFI,5,0),1,0)*Data_NFI_t[[#This Row],[Plastic Mat]],0)</f>
        <v>0</v>
      </c>
      <c r="AP114" s="709">
        <f>IF(NFI_Expiration=1,IF($A114&lt;VLOOKUP(V$5,NFI,5,0),1,0)*Data_NFI_t[[#This Row],[Adult Clothes]],0)</f>
        <v>0</v>
      </c>
      <c r="AQ114" s="709">
        <f>IF(NFI_Expiration=1,IF($A114&lt;VLOOKUP(W$5,NFI,5,0),1,0)*Data_NFI_t[[#This Row],[Children Clothes]],0)</f>
        <v>0</v>
      </c>
      <c r="AR114" s="709">
        <f>IF(NFI_Expiration=1,IF($A114&lt;VLOOKUP(X$5,NFI,5,0),1,0)*Data_NFI_t[[#This Row],[Sewing Kit]],0)</f>
        <v>0</v>
      </c>
      <c r="AS114" s="709">
        <f>IF(NFI_Expiration=1,IF($A114&lt;VLOOKUP(X$5,NFI,5,0),1,0)*Data_NFI_t[[#This Row],[Solar Lantern]],0)</f>
        <v>0</v>
      </c>
      <c r="AT114" s="105" t="str">
        <f ca="1">IFERROR(OFFSET(Camp_List[P_Code],MATCH(Data_NFI_t[[#This Row],[Camp Name]],Camp_List[Camp Name],0)-1,0,1,1),"")</f>
        <v>MMR012CMP041</v>
      </c>
      <c r="AU114" s="412" t="str">
        <f ca="1">IFERROR(OFFSET(Camp_List[Status],MATCH(Data_NFI_t[[#This Row],[Camp Name]],Camp_List[Camp Name],0)-1,0,1,1),"")</f>
        <v>Open</v>
      </c>
      <c r="AV114" s="724" t="s">
        <v>1047</v>
      </c>
      <c r="AY114" s="747"/>
    </row>
    <row r="115" spans="1:51" s="745" customFormat="1" ht="16.5" customHeight="1" x14ac:dyDescent="0.25">
      <c r="A115" s="711">
        <f t="shared" si="4"/>
        <v>17.833333333333332</v>
      </c>
      <c r="B115" s="712">
        <f>YEAR(Data_NFI_t[[#This Row],[Distribution Date]])</f>
        <v>2017</v>
      </c>
      <c r="C115" s="904">
        <v>42899</v>
      </c>
      <c r="D115" s="752" t="s">
        <v>476</v>
      </c>
      <c r="E115" s="752" t="s">
        <v>476</v>
      </c>
      <c r="F115" s="752" t="s">
        <v>7</v>
      </c>
      <c r="G115" s="713" t="s">
        <v>17</v>
      </c>
      <c r="H115" s="713" t="s">
        <v>62</v>
      </c>
      <c r="I115" s="714"/>
      <c r="J115" s="802">
        <v>99</v>
      </c>
      <c r="K115" s="800">
        <v>544</v>
      </c>
      <c r="L115" s="715"/>
      <c r="M115" s="715"/>
      <c r="N115" s="716"/>
      <c r="O115" s="716"/>
      <c r="P115" s="716"/>
      <c r="Q115" s="716"/>
      <c r="R115" s="716"/>
      <c r="S115" s="716">
        <v>399</v>
      </c>
      <c r="T115" s="717"/>
      <c r="U115" s="716"/>
      <c r="V115" s="716"/>
      <c r="W115" s="716"/>
      <c r="X115" s="716"/>
      <c r="Y115" s="716"/>
      <c r="Z115" s="716"/>
      <c r="AA115" s="716"/>
      <c r="AB115" s="716"/>
      <c r="AC115" s="716"/>
      <c r="AD115" s="709">
        <f>IF(NFI_Expiration=1,IF($A115&lt;VLOOKUP(I$5,NFI,5,0),1,0)*Data_NFI_t[[#This Row],[Hygiene Kit]],0)</f>
        <v>0</v>
      </c>
      <c r="AE115" s="709">
        <f>IF(NFI_Expiration=1,IF($A115&lt;VLOOKUP(L$5,NFI,5,0),1,0)*Data_NFI_t[[#This Row],[NFI Core Kit]],0)</f>
        <v>0</v>
      </c>
      <c r="AF115" s="710">
        <f>IF(NFI_Expiration=1,IF($A115&lt;VLOOKUP(M$5,NFI,5,0),1,0)*Data_NFI_t[[#This Row],[Sanitary Kit]],0)</f>
        <v>0</v>
      </c>
      <c r="AG115" s="1055">
        <f>IF(NFI_Expiration=1,IF($A115&lt;VLOOKUP(AC$5,NFI,5,0),1,0)*Data_NFI_t[[#This Row],[Rope]],0)</f>
        <v>0</v>
      </c>
      <c r="AH115" s="710">
        <f>IF(NFI_Expiration=1,IF($A115&lt;VLOOKUP(N$5,NFI,5,0),1,0)*Data_NFI_t[[#This Row],[Mosquito net]],0)</f>
        <v>0</v>
      </c>
      <c r="AI115" s="710">
        <f>IF(NFI_Expiration=1,IF($A115&lt;VLOOKUP(O$5,NFI,5,0),1,0)*Data_NFI_t[[#This Row],[Tarpaulin]],0)</f>
        <v>0</v>
      </c>
      <c r="AJ115" s="710">
        <f>IF(NFI_Expiration=1,IF($A115&lt;VLOOKUP(P$5,NFI,5,0),1,0)*Data_NFI_t[[#This Row],[Blanket]],0)</f>
        <v>0</v>
      </c>
      <c r="AK115" s="710">
        <f>IF(NFI_Expiration=1,IF($A115&lt;VLOOKUP(Q$5,NFI,5,0),1,0)*Data_NFI_t[[#This Row],[Kitchen Set]],0)</f>
        <v>0</v>
      </c>
      <c r="AL115" s="710">
        <f>IF(NFI_Expiration=1,IF($A115&lt;VLOOKUP(R$5,NFI,5,0),1,0)*Data_NFI_t[[#This Row],[Complementary Kit]],0)</f>
        <v>0</v>
      </c>
      <c r="AM115" s="710">
        <f>IF(NFI_Expiration=1,IF($A115&lt;VLOOKUP(S$5,NFI,5,0),1,0)*Data_NFI_t[[#This Row],[Plastic Bucket]],0)</f>
        <v>0</v>
      </c>
      <c r="AN115" s="709">
        <f>IF(NFI_Expiration=1,IF($A115&lt;VLOOKUP(T$5,NFI,5,0),1,0)*Data_NFI_t[[#This Row],[Jerry Can]],0)</f>
        <v>0</v>
      </c>
      <c r="AO115" s="709">
        <f>IF(NFI_Expiration=1,IF($A115&lt;VLOOKUP(U$5,NFI,5,0),1,0)*Data_NFI_t[[#This Row],[Plastic Mat]],0)</f>
        <v>0</v>
      </c>
      <c r="AP115" s="709">
        <f>IF(NFI_Expiration=1,IF($A115&lt;VLOOKUP(V$5,NFI,5,0),1,0)*Data_NFI_t[[#This Row],[Adult Clothes]],0)</f>
        <v>0</v>
      </c>
      <c r="AQ115" s="709">
        <f>IF(NFI_Expiration=1,IF($A115&lt;VLOOKUP(W$5,NFI,5,0),1,0)*Data_NFI_t[[#This Row],[Children Clothes]],0)</f>
        <v>0</v>
      </c>
      <c r="AR115" s="709">
        <f>IF(NFI_Expiration=1,IF($A115&lt;VLOOKUP(X$5,NFI,5,0),1,0)*Data_NFI_t[[#This Row],[Sewing Kit]],0)</f>
        <v>0</v>
      </c>
      <c r="AS115" s="709">
        <f>IF(NFI_Expiration=1,IF($A115&lt;VLOOKUP(X$5,NFI,5,0),1,0)*Data_NFI_t[[#This Row],[Solar Lantern]],0)</f>
        <v>0</v>
      </c>
      <c r="AT115" s="105" t="str">
        <f ca="1">IFERROR(OFFSET(Camp_List[P_Code],MATCH(Data_NFI_t[[#This Row],[Camp Name]],Camp_List[Camp Name],0)-1,0,1,1),"")</f>
        <v/>
      </c>
      <c r="AU115" s="412" t="str">
        <f ca="1">IFERROR(OFFSET(Camp_List[Status],MATCH(Data_NFI_t[[#This Row],[Camp Name]],Camp_List[Camp Name],0)-1,0,1,1),"")</f>
        <v/>
      </c>
      <c r="AV115" s="105"/>
      <c r="AY115" s="747"/>
    </row>
    <row r="116" spans="1:51" s="745" customFormat="1" ht="16.5" customHeight="1" x14ac:dyDescent="0.25">
      <c r="A116" s="711">
        <f t="shared" si="4"/>
        <v>17.833333333333332</v>
      </c>
      <c r="B116" s="712">
        <f>YEAR(Data_NFI_t[[#This Row],[Distribution Date]])</f>
        <v>2017</v>
      </c>
      <c r="C116" s="904">
        <v>42899</v>
      </c>
      <c r="D116" s="708" t="s">
        <v>270</v>
      </c>
      <c r="E116" s="708" t="s">
        <v>575</v>
      </c>
      <c r="F116" s="708" t="s">
        <v>7</v>
      </c>
      <c r="G116" s="713" t="s">
        <v>17</v>
      </c>
      <c r="H116" s="713" t="s">
        <v>66</v>
      </c>
      <c r="I116" s="714"/>
      <c r="J116" s="802">
        <v>490</v>
      </c>
      <c r="K116" s="800">
        <f>J116*5.5</f>
        <v>2695</v>
      </c>
      <c r="L116" s="715"/>
      <c r="M116" s="715"/>
      <c r="N116" s="716">
        <v>490</v>
      </c>
      <c r="O116" s="716">
        <v>371</v>
      </c>
      <c r="P116" s="716"/>
      <c r="Q116" s="716"/>
      <c r="R116" s="716"/>
      <c r="S116" s="716"/>
      <c r="T116" s="717"/>
      <c r="U116" s="716">
        <v>1470</v>
      </c>
      <c r="V116" s="716"/>
      <c r="W116" s="716"/>
      <c r="X116" s="716"/>
      <c r="Y116" s="716"/>
      <c r="Z116" s="716"/>
      <c r="AA116" s="716"/>
      <c r="AB116" s="716"/>
      <c r="AC116" s="716"/>
      <c r="AD116" s="709">
        <f>IF(NFI_Expiration=1,IF($A116&lt;VLOOKUP(I$5,NFI,5,0),1,0)*Data_NFI_t[[#This Row],[Hygiene Kit]],0)</f>
        <v>0</v>
      </c>
      <c r="AE116" s="709">
        <f>IF(NFI_Expiration=1,IF($A116&lt;VLOOKUP(L$5,NFI,5,0),1,0)*Data_NFI_t[[#This Row],[NFI Core Kit]],0)</f>
        <v>0</v>
      </c>
      <c r="AF116" s="710">
        <f>IF(NFI_Expiration=1,IF($A116&lt;VLOOKUP(M$5,NFI,5,0),1,0)*Data_NFI_t[[#This Row],[Sanitary Kit]],0)</f>
        <v>0</v>
      </c>
      <c r="AG116" s="1055">
        <f>IF(NFI_Expiration=1,IF($A116&lt;VLOOKUP(AC$5,NFI,5,0),1,0)*Data_NFI_t[[#This Row],[Rope]],0)</f>
        <v>0</v>
      </c>
      <c r="AH116" s="710">
        <f>IF(NFI_Expiration=1,IF($A116&lt;VLOOKUP(N$5,NFI,5,0),1,0)*Data_NFI_t[[#This Row],[Mosquito net]],0)</f>
        <v>0</v>
      </c>
      <c r="AI116" s="710">
        <f>IF(NFI_Expiration=1,IF($A116&lt;VLOOKUP(O$5,NFI,5,0),1,0)*Data_NFI_t[[#This Row],[Tarpaulin]],0)</f>
        <v>0</v>
      </c>
      <c r="AJ116" s="710">
        <f>IF(NFI_Expiration=1,IF($A116&lt;VLOOKUP(P$5,NFI,5,0),1,0)*Data_NFI_t[[#This Row],[Blanket]],0)</f>
        <v>0</v>
      </c>
      <c r="AK116" s="710">
        <f>IF(NFI_Expiration=1,IF($A116&lt;VLOOKUP(Q$5,NFI,5,0),1,0)*Data_NFI_t[[#This Row],[Kitchen Set]],0)</f>
        <v>0</v>
      </c>
      <c r="AL116" s="710">
        <f>IF(NFI_Expiration=1,IF($A116&lt;VLOOKUP(R$5,NFI,5,0),1,0)*Data_NFI_t[[#This Row],[Complementary Kit]],0)</f>
        <v>0</v>
      </c>
      <c r="AM116" s="710">
        <f>IF(NFI_Expiration=1,IF($A116&lt;VLOOKUP(S$5,NFI,5,0),1,0)*Data_NFI_t[[#This Row],[Plastic Bucket]],0)</f>
        <v>0</v>
      </c>
      <c r="AN116" s="709">
        <f>IF(NFI_Expiration=1,IF($A116&lt;VLOOKUP(T$5,NFI,5,0),1,0)*Data_NFI_t[[#This Row],[Jerry Can]],0)</f>
        <v>0</v>
      </c>
      <c r="AO116" s="709">
        <f>IF(NFI_Expiration=1,IF($A116&lt;VLOOKUP(U$5,NFI,5,0),1,0)*Data_NFI_t[[#This Row],[Plastic Mat]],0)</f>
        <v>0</v>
      </c>
      <c r="AP116" s="709">
        <f>IF(NFI_Expiration=1,IF($A116&lt;VLOOKUP(V$5,NFI,5,0),1,0)*Data_NFI_t[[#This Row],[Adult Clothes]],0)</f>
        <v>0</v>
      </c>
      <c r="AQ116" s="709">
        <f>IF(NFI_Expiration=1,IF($A116&lt;VLOOKUP(W$5,NFI,5,0),1,0)*Data_NFI_t[[#This Row],[Children Clothes]],0)</f>
        <v>0</v>
      </c>
      <c r="AR116" s="709">
        <f>IF(NFI_Expiration=1,IF($A116&lt;VLOOKUP(X$5,NFI,5,0),1,0)*Data_NFI_t[[#This Row],[Sewing Kit]],0)</f>
        <v>0</v>
      </c>
      <c r="AS116" s="709">
        <f>IF(NFI_Expiration=1,IF($A116&lt;VLOOKUP(X$5,NFI,5,0),1,0)*Data_NFI_t[[#This Row],[Solar Lantern]],0)</f>
        <v>0</v>
      </c>
      <c r="AT116" s="105" t="str">
        <f ca="1">IFERROR(OFFSET(Camp_List[P_Code],MATCH(Data_NFI_t[[#This Row],[Camp Name]],Camp_List[Camp Name],0)-1,0,1,1),"")</f>
        <v>MMR012CMP046</v>
      </c>
      <c r="AU116" s="412" t="str">
        <f ca="1">IFERROR(OFFSET(Camp_List[Status],MATCH(Data_NFI_t[[#This Row],[Camp Name]],Camp_List[Camp Name],0)-1,0,1,1),"")</f>
        <v>Open</v>
      </c>
      <c r="AV116" s="724" t="s">
        <v>1047</v>
      </c>
      <c r="AY116" s="747"/>
    </row>
    <row r="117" spans="1:51" s="745" customFormat="1" ht="16.5" customHeight="1" x14ac:dyDescent="0.25">
      <c r="A117" s="711">
        <f t="shared" si="4"/>
        <v>17.966666666666665</v>
      </c>
      <c r="B117" s="712">
        <f>YEAR(Data_NFI_t[[#This Row],[Distribution Date]])</f>
        <v>2017</v>
      </c>
      <c r="C117" s="904">
        <v>42895</v>
      </c>
      <c r="D117" s="708" t="s">
        <v>270</v>
      </c>
      <c r="E117" s="708" t="s">
        <v>575</v>
      </c>
      <c r="F117" s="708" t="s">
        <v>7</v>
      </c>
      <c r="G117" s="713" t="s">
        <v>17</v>
      </c>
      <c r="H117" s="713" t="s">
        <v>62</v>
      </c>
      <c r="I117" s="714"/>
      <c r="J117" s="802">
        <v>40</v>
      </c>
      <c r="K117" s="800">
        <f>J117*5.5</f>
        <v>220</v>
      </c>
      <c r="L117" s="715"/>
      <c r="M117" s="715"/>
      <c r="N117" s="716">
        <v>40</v>
      </c>
      <c r="O117" s="716">
        <v>40</v>
      </c>
      <c r="P117" s="716"/>
      <c r="Q117" s="716"/>
      <c r="R117" s="716"/>
      <c r="S117" s="716"/>
      <c r="T117" s="717"/>
      <c r="U117" s="716">
        <v>120</v>
      </c>
      <c r="V117" s="716"/>
      <c r="W117" s="716"/>
      <c r="X117" s="716"/>
      <c r="Y117" s="716"/>
      <c r="Z117" s="716"/>
      <c r="AA117" s="716"/>
      <c r="AB117" s="716"/>
      <c r="AC117" s="716"/>
      <c r="AD117" s="709">
        <f>IF(NFI_Expiration=1,IF($A117&lt;VLOOKUP(I$5,NFI,5,0),1,0)*Data_NFI_t[[#This Row],[Hygiene Kit]],0)</f>
        <v>0</v>
      </c>
      <c r="AE117" s="709">
        <f>IF(NFI_Expiration=1,IF($A117&lt;VLOOKUP(L$5,NFI,5,0),1,0)*Data_NFI_t[[#This Row],[NFI Core Kit]],0)</f>
        <v>0</v>
      </c>
      <c r="AF117" s="710">
        <f>IF(NFI_Expiration=1,IF($A117&lt;VLOOKUP(M$5,NFI,5,0),1,0)*Data_NFI_t[[#This Row],[Sanitary Kit]],0)</f>
        <v>0</v>
      </c>
      <c r="AG117" s="1055">
        <f>IF(NFI_Expiration=1,IF($A117&lt;VLOOKUP(AC$5,NFI,5,0),1,0)*Data_NFI_t[[#This Row],[Rope]],0)</f>
        <v>0</v>
      </c>
      <c r="AH117" s="710">
        <f>IF(NFI_Expiration=1,IF($A117&lt;VLOOKUP(N$5,NFI,5,0),1,0)*Data_NFI_t[[#This Row],[Mosquito net]],0)</f>
        <v>0</v>
      </c>
      <c r="AI117" s="710">
        <f>IF(NFI_Expiration=1,IF($A117&lt;VLOOKUP(O$5,NFI,5,0),1,0)*Data_NFI_t[[#This Row],[Tarpaulin]],0)</f>
        <v>0</v>
      </c>
      <c r="AJ117" s="710">
        <f>IF(NFI_Expiration=1,IF($A117&lt;VLOOKUP(P$5,NFI,5,0),1,0)*Data_NFI_t[[#This Row],[Blanket]],0)</f>
        <v>0</v>
      </c>
      <c r="AK117" s="710">
        <f>IF(NFI_Expiration=1,IF($A117&lt;VLOOKUP(Q$5,NFI,5,0),1,0)*Data_NFI_t[[#This Row],[Kitchen Set]],0)</f>
        <v>0</v>
      </c>
      <c r="AL117" s="710">
        <f>IF(NFI_Expiration=1,IF($A117&lt;VLOOKUP(R$5,NFI,5,0),1,0)*Data_NFI_t[[#This Row],[Complementary Kit]],0)</f>
        <v>0</v>
      </c>
      <c r="AM117" s="710">
        <f>IF(NFI_Expiration=1,IF($A117&lt;VLOOKUP(S$5,NFI,5,0),1,0)*Data_NFI_t[[#This Row],[Plastic Bucket]],0)</f>
        <v>0</v>
      </c>
      <c r="AN117" s="709">
        <f>IF(NFI_Expiration=1,IF($A117&lt;VLOOKUP(T$5,NFI,5,0),1,0)*Data_NFI_t[[#This Row],[Jerry Can]],0)</f>
        <v>0</v>
      </c>
      <c r="AO117" s="709">
        <f>IF(NFI_Expiration=1,IF($A117&lt;VLOOKUP(U$5,NFI,5,0),1,0)*Data_NFI_t[[#This Row],[Plastic Mat]],0)</f>
        <v>0</v>
      </c>
      <c r="AP117" s="709">
        <f>IF(NFI_Expiration=1,IF($A117&lt;VLOOKUP(V$5,NFI,5,0),1,0)*Data_NFI_t[[#This Row],[Adult Clothes]],0)</f>
        <v>0</v>
      </c>
      <c r="AQ117" s="709">
        <f>IF(NFI_Expiration=1,IF($A117&lt;VLOOKUP(W$5,NFI,5,0),1,0)*Data_NFI_t[[#This Row],[Children Clothes]],0)</f>
        <v>0</v>
      </c>
      <c r="AR117" s="709">
        <f>IF(NFI_Expiration=1,IF($A117&lt;VLOOKUP(X$5,NFI,5,0),1,0)*Data_NFI_t[[#This Row],[Sewing Kit]],0)</f>
        <v>0</v>
      </c>
      <c r="AS117" s="709">
        <f>IF(NFI_Expiration=1,IF($A117&lt;VLOOKUP(X$5,NFI,5,0),1,0)*Data_NFI_t[[#This Row],[Solar Lantern]],0)</f>
        <v>0</v>
      </c>
      <c r="AT117" s="105" t="str">
        <f ca="1">IFERROR(OFFSET(Camp_List[P_Code],MATCH(Data_NFI_t[[#This Row],[Camp Name]],Camp_List[Camp Name],0)-1,0,1,1),"")</f>
        <v/>
      </c>
      <c r="AU117" s="412" t="str">
        <f ca="1">IFERROR(OFFSET(Camp_List[Status],MATCH(Data_NFI_t[[#This Row],[Camp Name]],Camp_List[Camp Name],0)-1,0,1,1),"")</f>
        <v/>
      </c>
      <c r="AV117" s="724" t="s">
        <v>1047</v>
      </c>
      <c r="AY117" s="747"/>
    </row>
    <row r="118" spans="1:51" s="745" customFormat="1" ht="16.5" customHeight="1" x14ac:dyDescent="0.25">
      <c r="A118" s="711">
        <f t="shared" si="4"/>
        <v>18</v>
      </c>
      <c r="B118" s="712">
        <f>YEAR(Data_NFI_t[[#This Row],[Distribution Date]])</f>
        <v>2017</v>
      </c>
      <c r="C118" s="904">
        <v>42894</v>
      </c>
      <c r="D118" s="708" t="s">
        <v>904</v>
      </c>
      <c r="E118" s="708" t="s">
        <v>904</v>
      </c>
      <c r="F118" s="708" t="s">
        <v>7</v>
      </c>
      <c r="G118" s="713" t="s">
        <v>17</v>
      </c>
      <c r="H118" s="713" t="s">
        <v>580</v>
      </c>
      <c r="I118" s="714"/>
      <c r="J118" s="802">
        <v>371</v>
      </c>
      <c r="K118" s="800">
        <v>2226</v>
      </c>
      <c r="L118" s="715"/>
      <c r="M118" s="715"/>
      <c r="N118" s="716"/>
      <c r="O118" s="716">
        <v>371</v>
      </c>
      <c r="P118" s="716"/>
      <c r="Q118" s="716"/>
      <c r="R118" s="716"/>
      <c r="S118" s="716"/>
      <c r="T118" s="717"/>
      <c r="U118" s="716"/>
      <c r="V118" s="716"/>
      <c r="W118" s="716"/>
      <c r="X118" s="716"/>
      <c r="Y118" s="716"/>
      <c r="Z118" s="716"/>
      <c r="AA118" s="716"/>
      <c r="AB118" s="716"/>
      <c r="AC118" s="716"/>
      <c r="AD118" s="709">
        <f>IF(NFI_Expiration=1,IF($A118&lt;VLOOKUP(I$5,NFI,5,0),1,0)*Data_NFI_t[[#This Row],[Hygiene Kit]],0)</f>
        <v>0</v>
      </c>
      <c r="AE118" s="709">
        <f>IF(NFI_Expiration=1,IF($A118&lt;VLOOKUP(L$5,NFI,5,0),1,0)*Data_NFI_t[[#This Row],[NFI Core Kit]],0)</f>
        <v>0</v>
      </c>
      <c r="AF118" s="710">
        <f>IF(NFI_Expiration=1,IF($A118&lt;VLOOKUP(M$5,NFI,5,0),1,0)*Data_NFI_t[[#This Row],[Sanitary Kit]],0)</f>
        <v>0</v>
      </c>
      <c r="AG118" s="1055">
        <f>IF(NFI_Expiration=1,IF($A118&lt;VLOOKUP(AC$5,NFI,5,0),1,0)*Data_NFI_t[[#This Row],[Rope]],0)</f>
        <v>0</v>
      </c>
      <c r="AH118" s="710">
        <f>IF(NFI_Expiration=1,IF($A118&lt;VLOOKUP(N$5,NFI,5,0),1,0)*Data_NFI_t[[#This Row],[Mosquito net]],0)</f>
        <v>0</v>
      </c>
      <c r="AI118" s="710">
        <f>IF(NFI_Expiration=1,IF($A118&lt;VLOOKUP(O$5,NFI,5,0),1,0)*Data_NFI_t[[#This Row],[Tarpaulin]],0)</f>
        <v>0</v>
      </c>
      <c r="AJ118" s="710">
        <f>IF(NFI_Expiration=1,IF($A118&lt;VLOOKUP(P$5,NFI,5,0),1,0)*Data_NFI_t[[#This Row],[Blanket]],0)</f>
        <v>0</v>
      </c>
      <c r="AK118" s="710">
        <f>IF(NFI_Expiration=1,IF($A118&lt;VLOOKUP(Q$5,NFI,5,0),1,0)*Data_NFI_t[[#This Row],[Kitchen Set]],0)</f>
        <v>0</v>
      </c>
      <c r="AL118" s="710">
        <f>IF(NFI_Expiration=1,IF($A118&lt;VLOOKUP(R$5,NFI,5,0),1,0)*Data_NFI_t[[#This Row],[Complementary Kit]],0)</f>
        <v>0</v>
      </c>
      <c r="AM118" s="710">
        <f>IF(NFI_Expiration=1,IF($A118&lt;VLOOKUP(S$5,NFI,5,0),1,0)*Data_NFI_t[[#This Row],[Plastic Bucket]],0)</f>
        <v>0</v>
      </c>
      <c r="AN118" s="709">
        <f>IF(NFI_Expiration=1,IF($A118&lt;VLOOKUP(T$5,NFI,5,0),1,0)*Data_NFI_t[[#This Row],[Jerry Can]],0)</f>
        <v>0</v>
      </c>
      <c r="AO118" s="709">
        <f>IF(NFI_Expiration=1,IF($A118&lt;VLOOKUP(U$5,NFI,5,0),1,0)*Data_NFI_t[[#This Row],[Plastic Mat]],0)</f>
        <v>0</v>
      </c>
      <c r="AP118" s="709">
        <f>IF(NFI_Expiration=1,IF($A118&lt;VLOOKUP(V$5,NFI,5,0),1,0)*Data_NFI_t[[#This Row],[Adult Clothes]],0)</f>
        <v>0</v>
      </c>
      <c r="AQ118" s="709">
        <f>IF(NFI_Expiration=1,IF($A118&lt;VLOOKUP(W$5,NFI,5,0),1,0)*Data_NFI_t[[#This Row],[Children Clothes]],0)</f>
        <v>0</v>
      </c>
      <c r="AR118" s="709">
        <f>IF(NFI_Expiration=1,IF($A118&lt;VLOOKUP(X$5,NFI,5,0),1,0)*Data_NFI_t[[#This Row],[Sewing Kit]],0)</f>
        <v>0</v>
      </c>
      <c r="AS118" s="709">
        <f>IF(NFI_Expiration=1,IF($A118&lt;VLOOKUP(X$5,NFI,5,0),1,0)*Data_NFI_t[[#This Row],[Solar Lantern]],0)</f>
        <v>0</v>
      </c>
      <c r="AT118" s="105" t="str">
        <f ca="1">IFERROR(OFFSET(Camp_List[P_Code],MATCH(Data_NFI_t[[#This Row],[Camp Name]],Camp_List[Camp Name],0)-1,0,1,1),"")</f>
        <v>MMR012CMP092</v>
      </c>
      <c r="AU118" s="412" t="str">
        <f ca="1">IFERROR(OFFSET(Camp_List[Status],MATCH(Data_NFI_t[[#This Row],[Camp Name]],Camp_List[Camp Name],0)-1,0,1,1),"")</f>
        <v>Open</v>
      </c>
      <c r="AV118" s="105"/>
      <c r="AY118" s="747"/>
    </row>
    <row r="119" spans="1:51" s="745" customFormat="1" ht="16.5" customHeight="1" x14ac:dyDescent="0.25">
      <c r="A119" s="711">
        <f t="shared" si="4"/>
        <v>18.033333333333335</v>
      </c>
      <c r="B119" s="712">
        <f>YEAR(Data_NFI_t[[#This Row],[Distribution Date]])</f>
        <v>2017</v>
      </c>
      <c r="C119" s="904">
        <v>42893</v>
      </c>
      <c r="D119" s="708" t="s">
        <v>904</v>
      </c>
      <c r="E119" s="708" t="s">
        <v>904</v>
      </c>
      <c r="F119" s="708" t="s">
        <v>7</v>
      </c>
      <c r="G119" s="713" t="s">
        <v>17</v>
      </c>
      <c r="H119" s="713" t="s">
        <v>580</v>
      </c>
      <c r="I119" s="714"/>
      <c r="J119" s="802">
        <v>351</v>
      </c>
      <c r="K119" s="800">
        <v>2154</v>
      </c>
      <c r="L119" s="715"/>
      <c r="M119" s="715"/>
      <c r="N119" s="716"/>
      <c r="O119" s="716">
        <v>351</v>
      </c>
      <c r="P119" s="716"/>
      <c r="Q119" s="716"/>
      <c r="R119" s="716"/>
      <c r="S119" s="716"/>
      <c r="T119" s="717"/>
      <c r="U119" s="716"/>
      <c r="V119" s="716"/>
      <c r="W119" s="716"/>
      <c r="X119" s="716"/>
      <c r="Y119" s="716"/>
      <c r="Z119" s="716"/>
      <c r="AA119" s="716"/>
      <c r="AB119" s="716"/>
      <c r="AC119" s="716"/>
      <c r="AD119" s="709">
        <f>IF(NFI_Expiration=1,IF($A119&lt;VLOOKUP(I$5,NFI,5,0),1,0)*Data_NFI_t[[#This Row],[Hygiene Kit]],0)</f>
        <v>0</v>
      </c>
      <c r="AE119" s="709">
        <f>IF(NFI_Expiration=1,IF($A119&lt;VLOOKUP(L$5,NFI,5,0),1,0)*Data_NFI_t[[#This Row],[NFI Core Kit]],0)</f>
        <v>0</v>
      </c>
      <c r="AF119" s="710">
        <f>IF(NFI_Expiration=1,IF($A119&lt;VLOOKUP(M$5,NFI,5,0),1,0)*Data_NFI_t[[#This Row],[Sanitary Kit]],0)</f>
        <v>0</v>
      </c>
      <c r="AG119" s="1055">
        <f>IF(NFI_Expiration=1,IF($A119&lt;VLOOKUP(AC$5,NFI,5,0),1,0)*Data_NFI_t[[#This Row],[Rope]],0)</f>
        <v>0</v>
      </c>
      <c r="AH119" s="710">
        <f>IF(NFI_Expiration=1,IF($A119&lt;VLOOKUP(N$5,NFI,5,0),1,0)*Data_NFI_t[[#This Row],[Mosquito net]],0)</f>
        <v>0</v>
      </c>
      <c r="AI119" s="710">
        <f>IF(NFI_Expiration=1,IF($A119&lt;VLOOKUP(O$5,NFI,5,0),1,0)*Data_NFI_t[[#This Row],[Tarpaulin]],0)</f>
        <v>0</v>
      </c>
      <c r="AJ119" s="710">
        <f>IF(NFI_Expiration=1,IF($A119&lt;VLOOKUP(P$5,NFI,5,0),1,0)*Data_NFI_t[[#This Row],[Blanket]],0)</f>
        <v>0</v>
      </c>
      <c r="AK119" s="710">
        <f>IF(NFI_Expiration=1,IF($A119&lt;VLOOKUP(Q$5,NFI,5,0),1,0)*Data_NFI_t[[#This Row],[Kitchen Set]],0)</f>
        <v>0</v>
      </c>
      <c r="AL119" s="710">
        <f>IF(NFI_Expiration=1,IF($A119&lt;VLOOKUP(R$5,NFI,5,0),1,0)*Data_NFI_t[[#This Row],[Complementary Kit]],0)</f>
        <v>0</v>
      </c>
      <c r="AM119" s="710">
        <f>IF(NFI_Expiration=1,IF($A119&lt;VLOOKUP(S$5,NFI,5,0),1,0)*Data_NFI_t[[#This Row],[Plastic Bucket]],0)</f>
        <v>0</v>
      </c>
      <c r="AN119" s="709">
        <f>IF(NFI_Expiration=1,IF($A119&lt;VLOOKUP(T$5,NFI,5,0),1,0)*Data_NFI_t[[#This Row],[Jerry Can]],0)</f>
        <v>0</v>
      </c>
      <c r="AO119" s="709">
        <f>IF(NFI_Expiration=1,IF($A119&lt;VLOOKUP(U$5,NFI,5,0),1,0)*Data_NFI_t[[#This Row],[Plastic Mat]],0)</f>
        <v>0</v>
      </c>
      <c r="AP119" s="709">
        <f>IF(NFI_Expiration=1,IF($A119&lt;VLOOKUP(V$5,NFI,5,0),1,0)*Data_NFI_t[[#This Row],[Adult Clothes]],0)</f>
        <v>0</v>
      </c>
      <c r="AQ119" s="709">
        <f>IF(NFI_Expiration=1,IF($A119&lt;VLOOKUP(W$5,NFI,5,0),1,0)*Data_NFI_t[[#This Row],[Children Clothes]],0)</f>
        <v>0</v>
      </c>
      <c r="AR119" s="709">
        <f>IF(NFI_Expiration=1,IF($A119&lt;VLOOKUP(X$5,NFI,5,0),1,0)*Data_NFI_t[[#This Row],[Sewing Kit]],0)</f>
        <v>0</v>
      </c>
      <c r="AS119" s="709">
        <f>IF(NFI_Expiration=1,IF($A119&lt;VLOOKUP(X$5,NFI,5,0),1,0)*Data_NFI_t[[#This Row],[Solar Lantern]],0)</f>
        <v>0</v>
      </c>
      <c r="AT119" s="105" t="str">
        <f ca="1">IFERROR(OFFSET(Camp_List[P_Code],MATCH(Data_NFI_t[[#This Row],[Camp Name]],Camp_List[Camp Name],0)-1,0,1,1),"")</f>
        <v>MMR012CMP092</v>
      </c>
      <c r="AU119" s="412" t="str">
        <f ca="1">IFERROR(OFFSET(Camp_List[Status],MATCH(Data_NFI_t[[#This Row],[Camp Name]],Camp_List[Camp Name],0)-1,0,1,1),"")</f>
        <v>Open</v>
      </c>
      <c r="AV119" s="105"/>
      <c r="AY119" s="747"/>
    </row>
    <row r="120" spans="1:51" s="745" customFormat="1" ht="16.5" customHeight="1" x14ac:dyDescent="0.25">
      <c r="A120" s="711">
        <f t="shared" si="4"/>
        <v>18.033333333333335</v>
      </c>
      <c r="B120" s="712">
        <f>YEAR(Data_NFI_t[[#This Row],[Distribution Date]])</f>
        <v>2017</v>
      </c>
      <c r="C120" s="904">
        <v>42893</v>
      </c>
      <c r="D120" s="708" t="s">
        <v>270</v>
      </c>
      <c r="E120" s="708" t="s">
        <v>904</v>
      </c>
      <c r="F120" s="708" t="s">
        <v>7</v>
      </c>
      <c r="G120" s="713" t="s">
        <v>17</v>
      </c>
      <c r="H120" s="713" t="s">
        <v>580</v>
      </c>
      <c r="I120" s="714"/>
      <c r="J120" s="802">
        <v>96</v>
      </c>
      <c r="K120" s="800">
        <f>J120*5.5</f>
        <v>528</v>
      </c>
      <c r="L120" s="715"/>
      <c r="M120" s="715"/>
      <c r="N120" s="716"/>
      <c r="O120" s="716">
        <v>96</v>
      </c>
      <c r="P120" s="716"/>
      <c r="Q120" s="716"/>
      <c r="R120" s="716"/>
      <c r="S120" s="716"/>
      <c r="T120" s="717"/>
      <c r="U120" s="716"/>
      <c r="V120" s="716"/>
      <c r="W120" s="716"/>
      <c r="X120" s="716"/>
      <c r="Y120" s="716"/>
      <c r="Z120" s="716"/>
      <c r="AA120" s="716"/>
      <c r="AB120" s="716"/>
      <c r="AC120" s="716"/>
      <c r="AD120" s="709">
        <f>IF(NFI_Expiration=1,IF($A120&lt;VLOOKUP(I$5,NFI,5,0),1,0)*Data_NFI_t[[#This Row],[Hygiene Kit]],0)</f>
        <v>0</v>
      </c>
      <c r="AE120" s="709">
        <f>IF(NFI_Expiration=1,IF($A120&lt;VLOOKUP(L$5,NFI,5,0),1,0)*Data_NFI_t[[#This Row],[NFI Core Kit]],0)</f>
        <v>0</v>
      </c>
      <c r="AF120" s="710">
        <f>IF(NFI_Expiration=1,IF($A120&lt;VLOOKUP(M$5,NFI,5,0),1,0)*Data_NFI_t[[#This Row],[Sanitary Kit]],0)</f>
        <v>0</v>
      </c>
      <c r="AG120" s="1055">
        <f>IF(NFI_Expiration=1,IF($A120&lt;VLOOKUP(AC$5,NFI,5,0),1,0)*Data_NFI_t[[#This Row],[Rope]],0)</f>
        <v>0</v>
      </c>
      <c r="AH120" s="710">
        <f>IF(NFI_Expiration=1,IF($A120&lt;VLOOKUP(N$5,NFI,5,0),1,0)*Data_NFI_t[[#This Row],[Mosquito net]],0)</f>
        <v>0</v>
      </c>
      <c r="AI120" s="710">
        <f>IF(NFI_Expiration=1,IF($A120&lt;VLOOKUP(O$5,NFI,5,0),1,0)*Data_NFI_t[[#This Row],[Tarpaulin]],0)</f>
        <v>0</v>
      </c>
      <c r="AJ120" s="710">
        <f>IF(NFI_Expiration=1,IF($A120&lt;VLOOKUP(P$5,NFI,5,0),1,0)*Data_NFI_t[[#This Row],[Blanket]],0)</f>
        <v>0</v>
      </c>
      <c r="AK120" s="710">
        <f>IF(NFI_Expiration=1,IF($A120&lt;VLOOKUP(Q$5,NFI,5,0),1,0)*Data_NFI_t[[#This Row],[Kitchen Set]],0)</f>
        <v>0</v>
      </c>
      <c r="AL120" s="710">
        <f>IF(NFI_Expiration=1,IF($A120&lt;VLOOKUP(R$5,NFI,5,0),1,0)*Data_NFI_t[[#This Row],[Complementary Kit]],0)</f>
        <v>0</v>
      </c>
      <c r="AM120" s="710">
        <f>IF(NFI_Expiration=1,IF($A120&lt;VLOOKUP(S$5,NFI,5,0),1,0)*Data_NFI_t[[#This Row],[Plastic Bucket]],0)</f>
        <v>0</v>
      </c>
      <c r="AN120" s="709">
        <f>IF(NFI_Expiration=1,IF($A120&lt;VLOOKUP(T$5,NFI,5,0),1,0)*Data_NFI_t[[#This Row],[Jerry Can]],0)</f>
        <v>0</v>
      </c>
      <c r="AO120" s="709">
        <f>IF(NFI_Expiration=1,IF($A120&lt;VLOOKUP(U$5,NFI,5,0),1,0)*Data_NFI_t[[#This Row],[Plastic Mat]],0)</f>
        <v>0</v>
      </c>
      <c r="AP120" s="709">
        <f>IF(NFI_Expiration=1,IF($A120&lt;VLOOKUP(V$5,NFI,5,0),1,0)*Data_NFI_t[[#This Row],[Adult Clothes]],0)</f>
        <v>0</v>
      </c>
      <c r="AQ120" s="709">
        <f>IF(NFI_Expiration=1,IF($A120&lt;VLOOKUP(W$5,NFI,5,0),1,0)*Data_NFI_t[[#This Row],[Children Clothes]],0)</f>
        <v>0</v>
      </c>
      <c r="AR120" s="709">
        <f>IF(NFI_Expiration=1,IF($A120&lt;VLOOKUP(X$5,NFI,5,0),1,0)*Data_NFI_t[[#This Row],[Sewing Kit]],0)</f>
        <v>0</v>
      </c>
      <c r="AS120" s="709">
        <f>IF(NFI_Expiration=1,IF($A120&lt;VLOOKUP(X$5,NFI,5,0),1,0)*Data_NFI_t[[#This Row],[Solar Lantern]],0)</f>
        <v>0</v>
      </c>
      <c r="AT120" s="105" t="str">
        <f ca="1">IFERROR(OFFSET(Camp_List[P_Code],MATCH(Data_NFI_t[[#This Row],[Camp Name]],Camp_List[Camp Name],0)-1,0,1,1),"")</f>
        <v>MMR012CMP092</v>
      </c>
      <c r="AU120" s="412" t="str">
        <f ca="1">IFERROR(OFFSET(Camp_List[Status],MATCH(Data_NFI_t[[#This Row],[Camp Name]],Camp_List[Camp Name],0)-1,0,1,1),"")</f>
        <v>Open</v>
      </c>
      <c r="AV120" s="724" t="s">
        <v>1047</v>
      </c>
      <c r="AY120" s="747"/>
    </row>
    <row r="121" spans="1:51" s="745" customFormat="1" ht="21" customHeight="1" x14ac:dyDescent="0.25">
      <c r="A121" s="711">
        <f t="shared" si="4"/>
        <v>18.2</v>
      </c>
      <c r="B121" s="712">
        <f>YEAR(Data_NFI_t[[#This Row],[Distribution Date]])</f>
        <v>2017</v>
      </c>
      <c r="C121" s="904">
        <v>42888</v>
      </c>
      <c r="D121" s="708" t="s">
        <v>270</v>
      </c>
      <c r="E121" s="708" t="s">
        <v>575</v>
      </c>
      <c r="F121" s="708" t="s">
        <v>7</v>
      </c>
      <c r="G121" s="713" t="s">
        <v>17</v>
      </c>
      <c r="H121" s="713" t="s">
        <v>66</v>
      </c>
      <c r="I121" s="714"/>
      <c r="J121" s="803">
        <v>49</v>
      </c>
      <c r="K121" s="801">
        <v>269</v>
      </c>
      <c r="L121" s="715"/>
      <c r="M121" s="715"/>
      <c r="N121" s="716"/>
      <c r="O121" s="716">
        <v>62</v>
      </c>
      <c r="P121" s="716"/>
      <c r="Q121" s="716"/>
      <c r="R121" s="716"/>
      <c r="S121" s="716"/>
      <c r="T121" s="717"/>
      <c r="U121" s="716"/>
      <c r="V121" s="716"/>
      <c r="W121" s="716"/>
      <c r="X121" s="716"/>
      <c r="Y121" s="716"/>
      <c r="Z121" s="716"/>
      <c r="AA121" s="716"/>
      <c r="AB121" s="716"/>
      <c r="AC121" s="716"/>
      <c r="AD121" s="709">
        <f>IF(NFI_Expiration=1,IF($A121&lt;VLOOKUP(I$5,NFI,5,0),1,0)*Data_NFI_t[[#This Row],[Hygiene Kit]],0)</f>
        <v>0</v>
      </c>
      <c r="AE121" s="709">
        <f>IF(NFI_Expiration=1,IF($A121&lt;VLOOKUP(L$5,NFI,5,0),1,0)*Data_NFI_t[[#This Row],[NFI Core Kit]],0)</f>
        <v>0</v>
      </c>
      <c r="AF121" s="710">
        <f>IF(NFI_Expiration=1,IF($A121&lt;VLOOKUP(M$5,NFI,5,0),1,0)*Data_NFI_t[[#This Row],[Sanitary Kit]],0)</f>
        <v>0</v>
      </c>
      <c r="AG121" s="1055">
        <f>IF(NFI_Expiration=1,IF($A121&lt;VLOOKUP(AC$5,NFI,5,0),1,0)*Data_NFI_t[[#This Row],[Rope]],0)</f>
        <v>0</v>
      </c>
      <c r="AH121" s="710">
        <f>IF(NFI_Expiration=1,IF($A121&lt;VLOOKUP(N$5,NFI,5,0),1,0)*Data_NFI_t[[#This Row],[Mosquito net]],0)</f>
        <v>0</v>
      </c>
      <c r="AI121" s="710">
        <f>IF(NFI_Expiration=1,IF($A121&lt;VLOOKUP(O$5,NFI,5,0),1,0)*Data_NFI_t[[#This Row],[Tarpaulin]],0)</f>
        <v>0</v>
      </c>
      <c r="AJ121" s="710">
        <f>IF(NFI_Expiration=1,IF($A121&lt;VLOOKUP(P$5,NFI,5,0),1,0)*Data_NFI_t[[#This Row],[Blanket]],0)</f>
        <v>0</v>
      </c>
      <c r="AK121" s="710">
        <f>IF(NFI_Expiration=1,IF($A121&lt;VLOOKUP(Q$5,NFI,5,0),1,0)*Data_NFI_t[[#This Row],[Kitchen Set]],0)</f>
        <v>0</v>
      </c>
      <c r="AL121" s="710">
        <f>IF(NFI_Expiration=1,IF($A121&lt;VLOOKUP(R$5,NFI,5,0),1,0)*Data_NFI_t[[#This Row],[Complementary Kit]],0)</f>
        <v>0</v>
      </c>
      <c r="AM121" s="710">
        <f>IF(NFI_Expiration=1,IF($A121&lt;VLOOKUP(S$5,NFI,5,0),1,0)*Data_NFI_t[[#This Row],[Plastic Bucket]],0)</f>
        <v>0</v>
      </c>
      <c r="AN121" s="709">
        <f>IF(NFI_Expiration=1,IF($A121&lt;VLOOKUP(T$5,NFI,5,0),1,0)*Data_NFI_t[[#This Row],[Jerry Can]],0)</f>
        <v>0</v>
      </c>
      <c r="AO121" s="709">
        <f>IF(NFI_Expiration=1,IF($A121&lt;VLOOKUP(U$5,NFI,5,0),1,0)*Data_NFI_t[[#This Row],[Plastic Mat]],0)</f>
        <v>0</v>
      </c>
      <c r="AP121" s="709">
        <f>IF(NFI_Expiration=1,IF($A121&lt;VLOOKUP(V$5,NFI,5,0),1,0)*Data_NFI_t[[#This Row],[Adult Clothes]],0)</f>
        <v>0</v>
      </c>
      <c r="AQ121" s="709">
        <f>IF(NFI_Expiration=1,IF($A121&lt;VLOOKUP(W$5,NFI,5,0),1,0)*Data_NFI_t[[#This Row],[Children Clothes]],0)</f>
        <v>0</v>
      </c>
      <c r="AR121" s="709">
        <f>IF(NFI_Expiration=1,IF($A121&lt;VLOOKUP(X$5,NFI,5,0),1,0)*Data_NFI_t[[#This Row],[Sewing Kit]],0)</f>
        <v>0</v>
      </c>
      <c r="AS121" s="709">
        <f>IF(NFI_Expiration=1,IF($A121&lt;VLOOKUP(X$5,NFI,5,0),1,0)*Data_NFI_t[[#This Row],[Solar Lantern]],0)</f>
        <v>0</v>
      </c>
      <c r="AT121" s="105" t="str">
        <f ca="1">IFERROR(OFFSET(Camp_List[P_Code],MATCH(Data_NFI_t[[#This Row],[Camp Name]],Camp_List[Camp Name],0)-1,0,1,1),"")</f>
        <v>MMR012CMP046</v>
      </c>
      <c r="AU121" s="412" t="str">
        <f ca="1">IFERROR(OFFSET(Camp_List[Status],MATCH(Data_NFI_t[[#This Row],[Camp Name]],Camp_List[Camp Name],0)-1,0,1,1),"")</f>
        <v>Open</v>
      </c>
      <c r="AV121" s="724" t="s">
        <v>1048</v>
      </c>
      <c r="AY121" s="747"/>
    </row>
    <row r="122" spans="1:51" s="745" customFormat="1" ht="21" customHeight="1" x14ac:dyDescent="0.25">
      <c r="A122" s="711">
        <f t="shared" si="4"/>
        <v>18.233333333333334</v>
      </c>
      <c r="B122" s="712">
        <f>YEAR(Data_NFI_t[[#This Row],[Distribution Date]])</f>
        <v>2017</v>
      </c>
      <c r="C122" s="904">
        <v>42887</v>
      </c>
      <c r="D122" s="708" t="s">
        <v>270</v>
      </c>
      <c r="E122" s="708" t="s">
        <v>270</v>
      </c>
      <c r="F122" s="708" t="s">
        <v>7</v>
      </c>
      <c r="G122" s="713" t="s">
        <v>15</v>
      </c>
      <c r="H122" s="713" t="s">
        <v>55</v>
      </c>
      <c r="I122" s="714"/>
      <c r="J122" s="804">
        <v>251</v>
      </c>
      <c r="K122" s="805">
        <v>1380</v>
      </c>
      <c r="L122" s="715"/>
      <c r="M122" s="715"/>
      <c r="N122" s="716"/>
      <c r="O122" s="716">
        <v>502</v>
      </c>
      <c r="P122" s="716"/>
      <c r="Q122" s="716"/>
      <c r="R122" s="716"/>
      <c r="S122" s="716"/>
      <c r="T122" s="717"/>
      <c r="U122" s="716"/>
      <c r="V122" s="716"/>
      <c r="W122" s="716"/>
      <c r="X122" s="716"/>
      <c r="Y122" s="716"/>
      <c r="Z122" s="716"/>
      <c r="AA122" s="716"/>
      <c r="AB122" s="716"/>
      <c r="AC122" s="716"/>
      <c r="AD122" s="709">
        <f>IF(NFI_Expiration=1,IF($A122&lt;VLOOKUP(I$5,NFI,5,0),1,0)*Data_NFI_t[[#This Row],[Hygiene Kit]],0)</f>
        <v>0</v>
      </c>
      <c r="AE122" s="709">
        <f>IF(NFI_Expiration=1,IF($A122&lt;VLOOKUP(L$5,NFI,5,0),1,0)*Data_NFI_t[[#This Row],[NFI Core Kit]],0)</f>
        <v>0</v>
      </c>
      <c r="AF122" s="710">
        <f>IF(NFI_Expiration=1,IF($A122&lt;VLOOKUP(M$5,NFI,5,0),1,0)*Data_NFI_t[[#This Row],[Sanitary Kit]],0)</f>
        <v>0</v>
      </c>
      <c r="AG122" s="1055">
        <f>IF(NFI_Expiration=1,IF($A122&lt;VLOOKUP(AC$5,NFI,5,0),1,0)*Data_NFI_t[[#This Row],[Rope]],0)</f>
        <v>0</v>
      </c>
      <c r="AH122" s="710">
        <f>IF(NFI_Expiration=1,IF($A122&lt;VLOOKUP(N$5,NFI,5,0),1,0)*Data_NFI_t[[#This Row],[Mosquito net]],0)</f>
        <v>0</v>
      </c>
      <c r="AI122" s="710">
        <f>IF(NFI_Expiration=1,IF($A122&lt;VLOOKUP(O$5,NFI,5,0),1,0)*Data_NFI_t[[#This Row],[Tarpaulin]],0)</f>
        <v>0</v>
      </c>
      <c r="AJ122" s="710">
        <f>IF(NFI_Expiration=1,IF($A122&lt;VLOOKUP(P$5,NFI,5,0),1,0)*Data_NFI_t[[#This Row],[Blanket]],0)</f>
        <v>0</v>
      </c>
      <c r="AK122" s="710">
        <f>IF(NFI_Expiration=1,IF($A122&lt;VLOOKUP(Q$5,NFI,5,0),1,0)*Data_NFI_t[[#This Row],[Kitchen Set]],0)</f>
        <v>0</v>
      </c>
      <c r="AL122" s="710">
        <f>IF(NFI_Expiration=1,IF($A122&lt;VLOOKUP(R$5,NFI,5,0),1,0)*Data_NFI_t[[#This Row],[Complementary Kit]],0)</f>
        <v>0</v>
      </c>
      <c r="AM122" s="710">
        <f>IF(NFI_Expiration=1,IF($A122&lt;VLOOKUP(S$5,NFI,5,0),1,0)*Data_NFI_t[[#This Row],[Plastic Bucket]],0)</f>
        <v>0</v>
      </c>
      <c r="AN122" s="709">
        <f>IF(NFI_Expiration=1,IF($A122&lt;VLOOKUP(T$5,NFI,5,0),1,0)*Data_NFI_t[[#This Row],[Jerry Can]],0)</f>
        <v>0</v>
      </c>
      <c r="AO122" s="709">
        <f>IF(NFI_Expiration=1,IF($A122&lt;VLOOKUP(U$5,NFI,5,0),1,0)*Data_NFI_t[[#This Row],[Plastic Mat]],0)</f>
        <v>0</v>
      </c>
      <c r="AP122" s="709">
        <f>IF(NFI_Expiration=1,IF($A122&lt;VLOOKUP(V$5,NFI,5,0),1,0)*Data_NFI_t[[#This Row],[Adult Clothes]],0)</f>
        <v>0</v>
      </c>
      <c r="AQ122" s="709">
        <f>IF(NFI_Expiration=1,IF($A122&lt;VLOOKUP(W$5,NFI,5,0),1,0)*Data_NFI_t[[#This Row],[Children Clothes]],0)</f>
        <v>0</v>
      </c>
      <c r="AR122" s="709">
        <f>IF(NFI_Expiration=1,IF($A122&lt;VLOOKUP(X$5,NFI,5,0),1,0)*Data_NFI_t[[#This Row],[Sewing Kit]],0)</f>
        <v>0</v>
      </c>
      <c r="AS122" s="709">
        <f>IF(NFI_Expiration=1,IF($A122&lt;VLOOKUP(X$5,NFI,5,0),1,0)*Data_NFI_t[[#This Row],[Solar Lantern]],0)</f>
        <v>0</v>
      </c>
      <c r="AT122" s="105" t="str">
        <f ca="1">IFERROR(OFFSET(Camp_List[P_Code],MATCH(Data_NFI_t[[#This Row],[Camp Name]],Camp_List[Camp Name],0)-1,0,1,1),"")</f>
        <v/>
      </c>
      <c r="AU122" s="412" t="str">
        <f ca="1">IFERROR(OFFSET(Camp_List[Status],MATCH(Data_NFI_t[[#This Row],[Camp Name]],Camp_List[Camp Name],0)-1,0,1,1),"")</f>
        <v/>
      </c>
      <c r="AV122" s="724" t="s">
        <v>1047</v>
      </c>
      <c r="AY122" s="747"/>
    </row>
    <row r="123" spans="1:51" s="745" customFormat="1" ht="21" customHeight="1" x14ac:dyDescent="0.25">
      <c r="A123" s="711">
        <f t="shared" si="4"/>
        <v>18.433333333333334</v>
      </c>
      <c r="B123" s="712">
        <f>YEAR(Data_NFI_t[[#This Row],[Distribution Date]])</f>
        <v>2017</v>
      </c>
      <c r="C123" s="904">
        <v>42881</v>
      </c>
      <c r="D123" s="708" t="s">
        <v>1016</v>
      </c>
      <c r="E123" s="708" t="s">
        <v>1016</v>
      </c>
      <c r="F123" s="708" t="s">
        <v>7</v>
      </c>
      <c r="G123" s="713" t="s">
        <v>17</v>
      </c>
      <c r="H123" s="713" t="s">
        <v>62</v>
      </c>
      <c r="I123" s="714"/>
      <c r="J123" s="804">
        <v>400</v>
      </c>
      <c r="K123" s="805">
        <f>400*5.5</f>
        <v>2200</v>
      </c>
      <c r="L123" s="715"/>
      <c r="M123" s="715">
        <v>400</v>
      </c>
      <c r="N123" s="716"/>
      <c r="O123" s="716"/>
      <c r="P123" s="716"/>
      <c r="Q123" s="716"/>
      <c r="R123" s="716"/>
      <c r="S123" s="716"/>
      <c r="T123" s="717"/>
      <c r="U123" s="716"/>
      <c r="V123" s="716"/>
      <c r="W123" s="716"/>
      <c r="X123" s="716"/>
      <c r="Y123" s="716"/>
      <c r="Z123" s="716"/>
      <c r="AA123" s="716"/>
      <c r="AB123" s="716"/>
      <c r="AC123" s="716"/>
      <c r="AD123" s="709">
        <f>IF(NFI_Expiration=1,IF($A123&lt;VLOOKUP(I$5,NFI,5,0),1,0)*Data_NFI_t[[#This Row],[Hygiene Kit]],0)</f>
        <v>0</v>
      </c>
      <c r="AE123" s="709">
        <f>IF(NFI_Expiration=1,IF($A123&lt;VLOOKUP(L$5,NFI,5,0),1,0)*Data_NFI_t[[#This Row],[NFI Core Kit]],0)</f>
        <v>0</v>
      </c>
      <c r="AF123" s="710">
        <f>IF(NFI_Expiration=1,IF($A123&lt;VLOOKUP(M$5,NFI,5,0),1,0)*Data_NFI_t[[#This Row],[Sanitary Kit]],0)</f>
        <v>0</v>
      </c>
      <c r="AG123" s="1055">
        <f>IF(NFI_Expiration=1,IF($A123&lt;VLOOKUP(AC$5,NFI,5,0),1,0)*Data_NFI_t[[#This Row],[Rope]],0)</f>
        <v>0</v>
      </c>
      <c r="AH123" s="710">
        <f>IF(NFI_Expiration=1,IF($A123&lt;VLOOKUP(N$5,NFI,5,0),1,0)*Data_NFI_t[[#This Row],[Mosquito net]],0)</f>
        <v>0</v>
      </c>
      <c r="AI123" s="710">
        <f>IF(NFI_Expiration=1,IF($A123&lt;VLOOKUP(O$5,NFI,5,0),1,0)*Data_NFI_t[[#This Row],[Tarpaulin]],0)</f>
        <v>0</v>
      </c>
      <c r="AJ123" s="710">
        <f>IF(NFI_Expiration=1,IF($A123&lt;VLOOKUP(P$5,NFI,5,0),1,0)*Data_NFI_t[[#This Row],[Blanket]],0)</f>
        <v>0</v>
      </c>
      <c r="AK123" s="710">
        <f>IF(NFI_Expiration=1,IF($A123&lt;VLOOKUP(Q$5,NFI,5,0),1,0)*Data_NFI_t[[#This Row],[Kitchen Set]],0)</f>
        <v>0</v>
      </c>
      <c r="AL123" s="710">
        <f>IF(NFI_Expiration=1,IF($A123&lt;VLOOKUP(R$5,NFI,5,0),1,0)*Data_NFI_t[[#This Row],[Complementary Kit]],0)</f>
        <v>0</v>
      </c>
      <c r="AM123" s="710">
        <f>IF(NFI_Expiration=1,IF($A123&lt;VLOOKUP(S$5,NFI,5,0),1,0)*Data_NFI_t[[#This Row],[Plastic Bucket]],0)</f>
        <v>0</v>
      </c>
      <c r="AN123" s="709">
        <f>IF(NFI_Expiration=1,IF($A123&lt;VLOOKUP(T$5,NFI,5,0),1,0)*Data_NFI_t[[#This Row],[Jerry Can]],0)</f>
        <v>0</v>
      </c>
      <c r="AO123" s="709">
        <f>IF(NFI_Expiration=1,IF($A123&lt;VLOOKUP(U$5,NFI,5,0),1,0)*Data_NFI_t[[#This Row],[Plastic Mat]],0)</f>
        <v>0</v>
      </c>
      <c r="AP123" s="709">
        <f>IF(NFI_Expiration=1,IF($A123&lt;VLOOKUP(V$5,NFI,5,0),1,0)*Data_NFI_t[[#This Row],[Adult Clothes]],0)</f>
        <v>0</v>
      </c>
      <c r="AQ123" s="709">
        <f>IF(NFI_Expiration=1,IF($A123&lt;VLOOKUP(W$5,NFI,5,0),1,0)*Data_NFI_t[[#This Row],[Children Clothes]],0)</f>
        <v>0</v>
      </c>
      <c r="AR123" s="709">
        <f>IF(NFI_Expiration=1,IF($A123&lt;VLOOKUP(X$5,NFI,5,0),1,0)*Data_NFI_t[[#This Row],[Sewing Kit]],0)</f>
        <v>0</v>
      </c>
      <c r="AS123" s="709">
        <f>IF(NFI_Expiration=1,IF($A123&lt;VLOOKUP(X$5,NFI,5,0),1,0)*Data_NFI_t[[#This Row],[Solar Lantern]],0)</f>
        <v>0</v>
      </c>
      <c r="AT123" s="105" t="str">
        <f ca="1">IFERROR(OFFSET(Camp_List[P_Code],MATCH(Data_NFI_t[[#This Row],[Camp Name]],Camp_List[Camp Name],0)-1,0,1,1),"")</f>
        <v/>
      </c>
      <c r="AU123" s="412" t="str">
        <f ca="1">IFERROR(OFFSET(Camp_List[Status],MATCH(Data_NFI_t[[#This Row],[Camp Name]],Camp_List[Camp Name],0)-1,0,1,1),"")</f>
        <v/>
      </c>
      <c r="AV123" s="105"/>
      <c r="AY123" s="747"/>
    </row>
    <row r="124" spans="1:51" s="745" customFormat="1" ht="21" customHeight="1" x14ac:dyDescent="0.25">
      <c r="A124" s="711">
        <f t="shared" si="4"/>
        <v>18.433333333333334</v>
      </c>
      <c r="B124" s="712">
        <f>YEAR(Data_NFI_t[[#This Row],[Distribution Date]])</f>
        <v>2017</v>
      </c>
      <c r="C124" s="904">
        <v>42881</v>
      </c>
      <c r="D124" s="708" t="s">
        <v>270</v>
      </c>
      <c r="E124" s="708" t="s">
        <v>575</v>
      </c>
      <c r="F124" s="708" t="s">
        <v>7</v>
      </c>
      <c r="G124" s="713" t="s">
        <v>17</v>
      </c>
      <c r="H124" s="713" t="s">
        <v>62</v>
      </c>
      <c r="I124" s="714"/>
      <c r="J124" s="800">
        <v>112</v>
      </c>
      <c r="K124" s="800">
        <f>J124*5.5</f>
        <v>616</v>
      </c>
      <c r="L124" s="715"/>
      <c r="M124" s="715"/>
      <c r="N124" s="716"/>
      <c r="O124" s="716">
        <v>112</v>
      </c>
      <c r="P124" s="716"/>
      <c r="Q124" s="716"/>
      <c r="R124" s="716"/>
      <c r="S124" s="716"/>
      <c r="T124" s="717"/>
      <c r="U124" s="716"/>
      <c r="V124" s="716"/>
      <c r="W124" s="716"/>
      <c r="X124" s="716"/>
      <c r="Y124" s="716"/>
      <c r="Z124" s="716"/>
      <c r="AA124" s="716"/>
      <c r="AB124" s="716"/>
      <c r="AC124" s="716"/>
      <c r="AD124" s="709">
        <f>IF(NFI_Expiration=1,IF($A124&lt;VLOOKUP(I$5,NFI,5,0),1,0)*Data_NFI_t[[#This Row],[Hygiene Kit]],0)</f>
        <v>0</v>
      </c>
      <c r="AE124" s="709">
        <f>IF(NFI_Expiration=1,IF($A124&lt;VLOOKUP(L$5,NFI,5,0),1,0)*Data_NFI_t[[#This Row],[NFI Core Kit]],0)</f>
        <v>0</v>
      </c>
      <c r="AF124" s="710">
        <f>IF(NFI_Expiration=1,IF($A124&lt;VLOOKUP(M$5,NFI,5,0),1,0)*Data_NFI_t[[#This Row],[Sanitary Kit]],0)</f>
        <v>0</v>
      </c>
      <c r="AG124" s="1055">
        <f>IF(NFI_Expiration=1,IF($A124&lt;VLOOKUP(AC$5,NFI,5,0),1,0)*Data_NFI_t[[#This Row],[Rope]],0)</f>
        <v>0</v>
      </c>
      <c r="AH124" s="710">
        <f>IF(NFI_Expiration=1,IF($A124&lt;VLOOKUP(N$5,NFI,5,0),1,0)*Data_NFI_t[[#This Row],[Mosquito net]],0)</f>
        <v>0</v>
      </c>
      <c r="AI124" s="710">
        <f>IF(NFI_Expiration=1,IF($A124&lt;VLOOKUP(O$5,NFI,5,0),1,0)*Data_NFI_t[[#This Row],[Tarpaulin]],0)</f>
        <v>0</v>
      </c>
      <c r="AJ124" s="710">
        <f>IF(NFI_Expiration=1,IF($A124&lt;VLOOKUP(P$5,NFI,5,0),1,0)*Data_NFI_t[[#This Row],[Blanket]],0)</f>
        <v>0</v>
      </c>
      <c r="AK124" s="710">
        <f>IF(NFI_Expiration=1,IF($A124&lt;VLOOKUP(Q$5,NFI,5,0),1,0)*Data_NFI_t[[#This Row],[Kitchen Set]],0)</f>
        <v>0</v>
      </c>
      <c r="AL124" s="710">
        <f>IF(NFI_Expiration=1,IF($A124&lt;VLOOKUP(R$5,NFI,5,0),1,0)*Data_NFI_t[[#This Row],[Complementary Kit]],0)</f>
        <v>0</v>
      </c>
      <c r="AM124" s="710">
        <f>IF(NFI_Expiration=1,IF($A124&lt;VLOOKUP(S$5,NFI,5,0),1,0)*Data_NFI_t[[#This Row],[Plastic Bucket]],0)</f>
        <v>0</v>
      </c>
      <c r="AN124" s="709">
        <f>IF(NFI_Expiration=1,IF($A124&lt;VLOOKUP(T$5,NFI,5,0),1,0)*Data_NFI_t[[#This Row],[Jerry Can]],0)</f>
        <v>0</v>
      </c>
      <c r="AO124" s="709">
        <f>IF(NFI_Expiration=1,IF($A124&lt;VLOOKUP(U$5,NFI,5,0),1,0)*Data_NFI_t[[#This Row],[Plastic Mat]],0)</f>
        <v>0</v>
      </c>
      <c r="AP124" s="709">
        <f>IF(NFI_Expiration=1,IF($A124&lt;VLOOKUP(V$5,NFI,5,0),1,0)*Data_NFI_t[[#This Row],[Adult Clothes]],0)</f>
        <v>0</v>
      </c>
      <c r="AQ124" s="709">
        <f>IF(NFI_Expiration=1,IF($A124&lt;VLOOKUP(W$5,NFI,5,0),1,0)*Data_NFI_t[[#This Row],[Children Clothes]],0)</f>
        <v>0</v>
      </c>
      <c r="AR124" s="709">
        <f>IF(NFI_Expiration=1,IF($A124&lt;VLOOKUP(X$5,NFI,5,0),1,0)*Data_NFI_t[[#This Row],[Sewing Kit]],0)</f>
        <v>0</v>
      </c>
      <c r="AS124" s="709">
        <f>IF(NFI_Expiration=1,IF($A124&lt;VLOOKUP(X$5,NFI,5,0),1,0)*Data_NFI_t[[#This Row],[Solar Lantern]],0)</f>
        <v>0</v>
      </c>
      <c r="AT124" s="105" t="str">
        <f ca="1">IFERROR(OFFSET(Camp_List[P_Code],MATCH(Data_NFI_t[[#This Row],[Camp Name]],Camp_List[Camp Name],0)-1,0,1,1),"")</f>
        <v/>
      </c>
      <c r="AU124" s="412" t="str">
        <f ca="1">IFERROR(OFFSET(Camp_List[Status],MATCH(Data_NFI_t[[#This Row],[Camp Name]],Camp_List[Camp Name],0)-1,0,1,1),"")</f>
        <v/>
      </c>
      <c r="AV124" s="105"/>
      <c r="AY124" s="747"/>
    </row>
    <row r="125" spans="1:51" s="745" customFormat="1" ht="21" customHeight="1" x14ac:dyDescent="0.25">
      <c r="A125" s="711">
        <f t="shared" si="4"/>
        <v>18.466666666666665</v>
      </c>
      <c r="B125" s="712">
        <f>YEAR(Data_NFI_t[[#This Row],[Distribution Date]])</f>
        <v>2017</v>
      </c>
      <c r="C125" s="904">
        <v>42880</v>
      </c>
      <c r="D125" s="708" t="s">
        <v>476</v>
      </c>
      <c r="E125" s="708" t="s">
        <v>476</v>
      </c>
      <c r="F125" s="708" t="s">
        <v>7</v>
      </c>
      <c r="G125" s="713" t="s">
        <v>17</v>
      </c>
      <c r="H125" s="713" t="s">
        <v>585</v>
      </c>
      <c r="I125" s="714"/>
      <c r="J125" s="819">
        <v>635</v>
      </c>
      <c r="K125" s="821">
        <f>635*5.5</f>
        <v>3492.5</v>
      </c>
      <c r="L125" s="715"/>
      <c r="M125" s="715"/>
      <c r="N125" s="716"/>
      <c r="O125" s="716"/>
      <c r="P125" s="716"/>
      <c r="Q125" s="716"/>
      <c r="R125" s="716"/>
      <c r="S125" s="716">
        <v>635</v>
      </c>
      <c r="T125" s="717"/>
      <c r="U125" s="716"/>
      <c r="V125" s="716"/>
      <c r="W125" s="716"/>
      <c r="X125" s="716"/>
      <c r="Y125" s="716"/>
      <c r="Z125" s="716"/>
      <c r="AA125" s="716"/>
      <c r="AB125" s="716"/>
      <c r="AC125" s="716"/>
      <c r="AD125" s="709">
        <f>IF(NFI_Expiration=1,IF($A125&lt;VLOOKUP(I$5,NFI,5,0),1,0)*Data_NFI_t[[#This Row],[Hygiene Kit]],0)</f>
        <v>0</v>
      </c>
      <c r="AE125" s="709">
        <f>IF(NFI_Expiration=1,IF($A125&lt;VLOOKUP(L$5,NFI,5,0),1,0)*Data_NFI_t[[#This Row],[NFI Core Kit]],0)</f>
        <v>0</v>
      </c>
      <c r="AF125" s="710">
        <f>IF(NFI_Expiration=1,IF($A125&lt;VLOOKUP(M$5,NFI,5,0),1,0)*Data_NFI_t[[#This Row],[Sanitary Kit]],0)</f>
        <v>0</v>
      </c>
      <c r="AG125" s="1055">
        <f>IF(NFI_Expiration=1,IF($A125&lt;VLOOKUP(AC$5,NFI,5,0),1,0)*Data_NFI_t[[#This Row],[Rope]],0)</f>
        <v>0</v>
      </c>
      <c r="AH125" s="710">
        <f>IF(NFI_Expiration=1,IF($A125&lt;VLOOKUP(N$5,NFI,5,0),1,0)*Data_NFI_t[[#This Row],[Mosquito net]],0)</f>
        <v>0</v>
      </c>
      <c r="AI125" s="710">
        <f>IF(NFI_Expiration=1,IF($A125&lt;VLOOKUP(O$5,NFI,5,0),1,0)*Data_NFI_t[[#This Row],[Tarpaulin]],0)</f>
        <v>0</v>
      </c>
      <c r="AJ125" s="710">
        <f>IF(NFI_Expiration=1,IF($A125&lt;VLOOKUP(P$5,NFI,5,0),1,0)*Data_NFI_t[[#This Row],[Blanket]],0)</f>
        <v>0</v>
      </c>
      <c r="AK125" s="710">
        <f>IF(NFI_Expiration=1,IF($A125&lt;VLOOKUP(Q$5,NFI,5,0),1,0)*Data_NFI_t[[#This Row],[Kitchen Set]],0)</f>
        <v>0</v>
      </c>
      <c r="AL125" s="710">
        <f>IF(NFI_Expiration=1,IF($A125&lt;VLOOKUP(R$5,NFI,5,0),1,0)*Data_NFI_t[[#This Row],[Complementary Kit]],0)</f>
        <v>0</v>
      </c>
      <c r="AM125" s="710">
        <f>IF(NFI_Expiration=1,IF($A125&lt;VLOOKUP(S$5,NFI,5,0),1,0)*Data_NFI_t[[#This Row],[Plastic Bucket]],0)</f>
        <v>0</v>
      </c>
      <c r="AN125" s="709">
        <f>IF(NFI_Expiration=1,IF($A125&lt;VLOOKUP(T$5,NFI,5,0),1,0)*Data_NFI_t[[#This Row],[Jerry Can]],0)</f>
        <v>0</v>
      </c>
      <c r="AO125" s="709">
        <f>IF(NFI_Expiration=1,IF($A125&lt;VLOOKUP(U$5,NFI,5,0),1,0)*Data_NFI_t[[#This Row],[Plastic Mat]],0)</f>
        <v>0</v>
      </c>
      <c r="AP125" s="709">
        <f>IF(NFI_Expiration=1,IF($A125&lt;VLOOKUP(V$5,NFI,5,0),1,0)*Data_NFI_t[[#This Row],[Adult Clothes]],0)</f>
        <v>0</v>
      </c>
      <c r="AQ125" s="709">
        <f>IF(NFI_Expiration=1,IF($A125&lt;VLOOKUP(W$5,NFI,5,0),1,0)*Data_NFI_t[[#This Row],[Children Clothes]],0)</f>
        <v>0</v>
      </c>
      <c r="AR125" s="709">
        <f>IF(NFI_Expiration=1,IF($A125&lt;VLOOKUP(X$5,NFI,5,0),1,0)*Data_NFI_t[[#This Row],[Sewing Kit]],0)</f>
        <v>0</v>
      </c>
      <c r="AS125" s="709">
        <f>IF(NFI_Expiration=1,IF($A125&lt;VLOOKUP(X$5,NFI,5,0),1,0)*Data_NFI_t[[#This Row],[Solar Lantern]],0)</f>
        <v>0</v>
      </c>
      <c r="AT125" s="105" t="str">
        <f ca="1">IFERROR(OFFSET(Camp_List[P_Code],MATCH(Data_NFI_t[[#This Row],[Camp Name]],Camp_List[Camp Name],0)-1,0,1,1),"")</f>
        <v>MMR012CMP098</v>
      </c>
      <c r="AU125" s="412" t="str">
        <f ca="1">IFERROR(OFFSET(Camp_List[Status],MATCH(Data_NFI_t[[#This Row],[Camp Name]],Camp_List[Camp Name],0)-1,0,1,1),"")</f>
        <v>Open</v>
      </c>
      <c r="AV125" s="105"/>
      <c r="AY125" s="747"/>
    </row>
    <row r="126" spans="1:51" s="745" customFormat="1" ht="21" customHeight="1" x14ac:dyDescent="0.25">
      <c r="A126" s="711">
        <f t="shared" si="4"/>
        <v>18.533333333333335</v>
      </c>
      <c r="B126" s="712">
        <f>YEAR(Data_NFI_t[[#This Row],[Distribution Date]])</f>
        <v>2017</v>
      </c>
      <c r="C126" s="904">
        <v>42878</v>
      </c>
      <c r="D126" s="708" t="s">
        <v>1035</v>
      </c>
      <c r="E126" s="708" t="s">
        <v>1035</v>
      </c>
      <c r="F126" s="708" t="s">
        <v>7</v>
      </c>
      <c r="G126" s="713" t="s">
        <v>17</v>
      </c>
      <c r="H126" s="713" t="s">
        <v>59</v>
      </c>
      <c r="I126" s="714"/>
      <c r="J126" s="819">
        <v>397</v>
      </c>
      <c r="K126" s="821">
        <f>Data_NFI_t[[#This Row],[Household Coverage]]*5.5</f>
        <v>2183.5</v>
      </c>
      <c r="L126" s="715"/>
      <c r="M126" s="715">
        <v>397</v>
      </c>
      <c r="N126" s="716"/>
      <c r="O126" s="716"/>
      <c r="P126" s="716"/>
      <c r="Q126" s="716"/>
      <c r="R126" s="716"/>
      <c r="S126" s="716"/>
      <c r="T126" s="717"/>
      <c r="U126" s="716"/>
      <c r="V126" s="716"/>
      <c r="W126" s="716"/>
      <c r="X126" s="716"/>
      <c r="Y126" s="716"/>
      <c r="Z126" s="716"/>
      <c r="AA126" s="716"/>
      <c r="AB126" s="716"/>
      <c r="AC126" s="716"/>
      <c r="AD126" s="709">
        <f>IF(NFI_Expiration=1,IF($A126&lt;VLOOKUP(I$5,NFI,5,0),1,0)*Data_NFI_t[[#This Row],[Hygiene Kit]],0)</f>
        <v>0</v>
      </c>
      <c r="AE126" s="709">
        <f>IF(NFI_Expiration=1,IF($A126&lt;VLOOKUP(L$5,NFI,5,0),1,0)*Data_NFI_t[[#This Row],[NFI Core Kit]],0)</f>
        <v>0</v>
      </c>
      <c r="AF126" s="710">
        <f>IF(NFI_Expiration=1,IF($A126&lt;VLOOKUP(M$5,NFI,5,0),1,0)*Data_NFI_t[[#This Row],[Sanitary Kit]],0)</f>
        <v>0</v>
      </c>
      <c r="AG126" s="1055">
        <f>IF(NFI_Expiration=1,IF($A126&lt;VLOOKUP(AC$5,NFI,5,0),1,0)*Data_NFI_t[[#This Row],[Rope]],0)</f>
        <v>0</v>
      </c>
      <c r="AH126" s="710">
        <f>IF(NFI_Expiration=1,IF($A126&lt;VLOOKUP(N$5,NFI,5,0),1,0)*Data_NFI_t[[#This Row],[Mosquito net]],0)</f>
        <v>0</v>
      </c>
      <c r="AI126" s="710">
        <f>IF(NFI_Expiration=1,IF($A126&lt;VLOOKUP(O$5,NFI,5,0),1,0)*Data_NFI_t[[#This Row],[Tarpaulin]],0)</f>
        <v>0</v>
      </c>
      <c r="AJ126" s="710">
        <f>IF(NFI_Expiration=1,IF($A126&lt;VLOOKUP(P$5,NFI,5,0),1,0)*Data_NFI_t[[#This Row],[Blanket]],0)</f>
        <v>0</v>
      </c>
      <c r="AK126" s="710">
        <f>IF(NFI_Expiration=1,IF($A126&lt;VLOOKUP(Q$5,NFI,5,0),1,0)*Data_NFI_t[[#This Row],[Kitchen Set]],0)</f>
        <v>0</v>
      </c>
      <c r="AL126" s="710">
        <f>IF(NFI_Expiration=1,IF($A126&lt;VLOOKUP(R$5,NFI,5,0),1,0)*Data_NFI_t[[#This Row],[Complementary Kit]],0)</f>
        <v>0</v>
      </c>
      <c r="AM126" s="710">
        <f>IF(NFI_Expiration=1,IF($A126&lt;VLOOKUP(S$5,NFI,5,0),1,0)*Data_NFI_t[[#This Row],[Plastic Bucket]],0)</f>
        <v>0</v>
      </c>
      <c r="AN126" s="709">
        <f>IF(NFI_Expiration=1,IF($A126&lt;VLOOKUP(T$5,NFI,5,0),1,0)*Data_NFI_t[[#This Row],[Jerry Can]],0)</f>
        <v>0</v>
      </c>
      <c r="AO126" s="709">
        <f>IF(NFI_Expiration=1,IF($A126&lt;VLOOKUP(U$5,NFI,5,0),1,0)*Data_NFI_t[[#This Row],[Plastic Mat]],0)</f>
        <v>0</v>
      </c>
      <c r="AP126" s="709">
        <f>IF(NFI_Expiration=1,IF($A126&lt;VLOOKUP(V$5,NFI,5,0),1,0)*Data_NFI_t[[#This Row],[Adult Clothes]],0)</f>
        <v>0</v>
      </c>
      <c r="AQ126" s="709">
        <f>IF(NFI_Expiration=1,IF($A126&lt;VLOOKUP(W$5,NFI,5,0),1,0)*Data_NFI_t[[#This Row],[Children Clothes]],0)</f>
        <v>0</v>
      </c>
      <c r="AR126" s="709">
        <f>IF(NFI_Expiration=1,IF($A126&lt;VLOOKUP(X$5,NFI,5,0),1,0)*Data_NFI_t[[#This Row],[Sewing Kit]],0)</f>
        <v>0</v>
      </c>
      <c r="AS126" s="709">
        <f>IF(NFI_Expiration=1,IF($A126&lt;VLOOKUP(X$5,NFI,5,0),1,0)*Data_NFI_t[[#This Row],[Solar Lantern]],0)</f>
        <v>0</v>
      </c>
      <c r="AT126" s="105" t="str">
        <f ca="1">IFERROR(OFFSET(Camp_List[P_Code],MATCH(Data_NFI_t[[#This Row],[Camp Name]],Camp_List[Camp Name],0)-1,0,1,1),"")</f>
        <v>MMR012CMP039</v>
      </c>
      <c r="AU126" s="412" t="str">
        <f ca="1">IFERROR(OFFSET(Camp_List[Status],MATCH(Data_NFI_t[[#This Row],[Camp Name]],Camp_List[Camp Name],0)-1,0,1,1),"")</f>
        <v>Open</v>
      </c>
      <c r="AV126" s="105"/>
      <c r="AY126" s="747"/>
    </row>
    <row r="127" spans="1:51" s="745" customFormat="1" ht="21" customHeight="1" x14ac:dyDescent="0.25">
      <c r="A127" s="711">
        <f t="shared" si="4"/>
        <v>18.566666666666666</v>
      </c>
      <c r="B127" s="712">
        <f>YEAR(Data_NFI_t[[#This Row],[Distribution Date]])</f>
        <v>2017</v>
      </c>
      <c r="C127" s="904">
        <v>42877</v>
      </c>
      <c r="D127" s="708" t="s">
        <v>904</v>
      </c>
      <c r="E127" s="708" t="s">
        <v>904</v>
      </c>
      <c r="F127" s="708" t="s">
        <v>7</v>
      </c>
      <c r="G127" s="713" t="s">
        <v>17</v>
      </c>
      <c r="H127" s="713" t="s">
        <v>68</v>
      </c>
      <c r="I127" s="714"/>
      <c r="J127" s="819">
        <v>30</v>
      </c>
      <c r="K127" s="819">
        <f>30*5.5</f>
        <v>165</v>
      </c>
      <c r="L127" s="715">
        <v>30</v>
      </c>
      <c r="M127" s="715"/>
      <c r="N127" s="716"/>
      <c r="O127" s="716"/>
      <c r="P127" s="716"/>
      <c r="Q127" s="716"/>
      <c r="R127" s="716"/>
      <c r="S127" s="716"/>
      <c r="T127" s="717"/>
      <c r="U127" s="716"/>
      <c r="V127" s="716"/>
      <c r="W127" s="716"/>
      <c r="X127" s="716"/>
      <c r="Y127" s="716"/>
      <c r="Z127" s="716"/>
      <c r="AA127" s="716"/>
      <c r="AB127" s="716"/>
      <c r="AC127" s="716"/>
      <c r="AD127" s="709">
        <f>IF(NFI_Expiration=1,IF($A127&lt;VLOOKUP(I$5,NFI,5,0),1,0)*Data_NFI_t[[#This Row],[Hygiene Kit]],0)</f>
        <v>0</v>
      </c>
      <c r="AE127" s="709">
        <f>IF(NFI_Expiration=1,IF($A127&lt;VLOOKUP(L$5,NFI,5,0),1,0)*Data_NFI_t[[#This Row],[NFI Core Kit]],0)</f>
        <v>0</v>
      </c>
      <c r="AF127" s="710">
        <f>IF(NFI_Expiration=1,IF($A127&lt;VLOOKUP(M$5,NFI,5,0),1,0)*Data_NFI_t[[#This Row],[Sanitary Kit]],0)</f>
        <v>0</v>
      </c>
      <c r="AG127" s="1055">
        <f>IF(NFI_Expiration=1,IF($A127&lt;VLOOKUP(AC$5,NFI,5,0),1,0)*Data_NFI_t[[#This Row],[Rope]],0)</f>
        <v>0</v>
      </c>
      <c r="AH127" s="710">
        <f>IF(NFI_Expiration=1,IF($A127&lt;VLOOKUP(N$5,NFI,5,0),1,0)*Data_NFI_t[[#This Row],[Mosquito net]],0)</f>
        <v>0</v>
      </c>
      <c r="AI127" s="710">
        <f>IF(NFI_Expiration=1,IF($A127&lt;VLOOKUP(O$5,NFI,5,0),1,0)*Data_NFI_t[[#This Row],[Tarpaulin]],0)</f>
        <v>0</v>
      </c>
      <c r="AJ127" s="710">
        <f>IF(NFI_Expiration=1,IF($A127&lt;VLOOKUP(P$5,NFI,5,0),1,0)*Data_NFI_t[[#This Row],[Blanket]],0)</f>
        <v>0</v>
      </c>
      <c r="AK127" s="710">
        <f>IF(NFI_Expiration=1,IF($A127&lt;VLOOKUP(Q$5,NFI,5,0),1,0)*Data_NFI_t[[#This Row],[Kitchen Set]],0)</f>
        <v>0</v>
      </c>
      <c r="AL127" s="710">
        <f>IF(NFI_Expiration=1,IF($A127&lt;VLOOKUP(R$5,NFI,5,0),1,0)*Data_NFI_t[[#This Row],[Complementary Kit]],0)</f>
        <v>0</v>
      </c>
      <c r="AM127" s="710">
        <f>IF(NFI_Expiration=1,IF($A127&lt;VLOOKUP(S$5,NFI,5,0),1,0)*Data_NFI_t[[#This Row],[Plastic Bucket]],0)</f>
        <v>0</v>
      </c>
      <c r="AN127" s="709">
        <f>IF(NFI_Expiration=1,IF($A127&lt;VLOOKUP(T$5,NFI,5,0),1,0)*Data_NFI_t[[#This Row],[Jerry Can]],0)</f>
        <v>0</v>
      </c>
      <c r="AO127" s="709">
        <f>IF(NFI_Expiration=1,IF($A127&lt;VLOOKUP(U$5,NFI,5,0),1,0)*Data_NFI_t[[#This Row],[Plastic Mat]],0)</f>
        <v>0</v>
      </c>
      <c r="AP127" s="709">
        <f>IF(NFI_Expiration=1,IF($A127&lt;VLOOKUP(V$5,NFI,5,0),1,0)*Data_NFI_t[[#This Row],[Adult Clothes]],0)</f>
        <v>0</v>
      </c>
      <c r="AQ127" s="709">
        <f>IF(NFI_Expiration=1,IF($A127&lt;VLOOKUP(W$5,NFI,5,0),1,0)*Data_NFI_t[[#This Row],[Children Clothes]],0)</f>
        <v>0</v>
      </c>
      <c r="AR127" s="709">
        <f>IF(NFI_Expiration=1,IF($A127&lt;VLOOKUP(X$5,NFI,5,0),1,0)*Data_NFI_t[[#This Row],[Sewing Kit]],0)</f>
        <v>0</v>
      </c>
      <c r="AS127" s="709">
        <f>IF(NFI_Expiration=1,IF($A127&lt;VLOOKUP(X$5,NFI,5,0),1,0)*Data_NFI_t[[#This Row],[Solar Lantern]],0)</f>
        <v>0</v>
      </c>
      <c r="AT127" s="105" t="str">
        <f ca="1">IFERROR(OFFSET(Camp_List[P_Code],MATCH(Data_NFI_t[[#This Row],[Camp Name]],Camp_List[Camp Name],0)-1,0,1,1),"")</f>
        <v>MMR012CMP048</v>
      </c>
      <c r="AU127" s="412" t="str">
        <f ca="1">IFERROR(OFFSET(Camp_List[Status],MATCH(Data_NFI_t[[#This Row],[Camp Name]],Camp_List[Camp Name],0)-1,0,1,1),"")</f>
        <v>Open</v>
      </c>
      <c r="AV127" s="105"/>
      <c r="AY127" s="747"/>
    </row>
    <row r="128" spans="1:51" s="745" customFormat="1" ht="21" customHeight="1" x14ac:dyDescent="0.25">
      <c r="A128" s="711">
        <f t="shared" si="4"/>
        <v>18.8</v>
      </c>
      <c r="B128" s="712">
        <f>YEAR(Data_NFI_t[[#This Row],[Distribution Date]])</f>
        <v>2017</v>
      </c>
      <c r="C128" s="904">
        <v>42870</v>
      </c>
      <c r="D128" s="708" t="s">
        <v>1035</v>
      </c>
      <c r="E128" s="708" t="s">
        <v>1035</v>
      </c>
      <c r="F128" s="708" t="s">
        <v>7</v>
      </c>
      <c r="G128" s="713" t="s">
        <v>17</v>
      </c>
      <c r="H128" s="713" t="s">
        <v>580</v>
      </c>
      <c r="I128" s="714"/>
      <c r="J128" s="819">
        <v>656</v>
      </c>
      <c r="K128" s="821">
        <f>Data_NFI_t[[#This Row],[Household Coverage]]*5.5</f>
        <v>3608</v>
      </c>
      <c r="L128" s="715"/>
      <c r="M128" s="715">
        <v>656</v>
      </c>
      <c r="N128" s="716"/>
      <c r="O128" s="716"/>
      <c r="P128" s="716"/>
      <c r="Q128" s="716"/>
      <c r="R128" s="716"/>
      <c r="S128" s="716">
        <v>104</v>
      </c>
      <c r="T128" s="717"/>
      <c r="U128" s="716"/>
      <c r="V128" s="716"/>
      <c r="W128" s="716"/>
      <c r="X128" s="716"/>
      <c r="Y128" s="716"/>
      <c r="Z128" s="716"/>
      <c r="AA128" s="716"/>
      <c r="AB128" s="716"/>
      <c r="AC128" s="716"/>
      <c r="AD128" s="709">
        <f>IF(NFI_Expiration=1,IF($A128&lt;VLOOKUP(I$5,NFI,5,0),1,0)*Data_NFI_t[[#This Row],[Hygiene Kit]],0)</f>
        <v>0</v>
      </c>
      <c r="AE128" s="709">
        <f>IF(NFI_Expiration=1,IF($A128&lt;VLOOKUP(L$5,NFI,5,0),1,0)*Data_NFI_t[[#This Row],[NFI Core Kit]],0)</f>
        <v>0</v>
      </c>
      <c r="AF128" s="710">
        <f>IF(NFI_Expiration=1,IF($A128&lt;VLOOKUP(M$5,NFI,5,0),1,0)*Data_NFI_t[[#This Row],[Sanitary Kit]],0)</f>
        <v>0</v>
      </c>
      <c r="AG128" s="1055">
        <f>IF(NFI_Expiration=1,IF($A128&lt;VLOOKUP(AC$5,NFI,5,0),1,0)*Data_NFI_t[[#This Row],[Rope]],0)</f>
        <v>0</v>
      </c>
      <c r="AH128" s="710">
        <f>IF(NFI_Expiration=1,IF($A128&lt;VLOOKUP(N$5,NFI,5,0),1,0)*Data_NFI_t[[#This Row],[Mosquito net]],0)</f>
        <v>0</v>
      </c>
      <c r="AI128" s="710">
        <f>IF(NFI_Expiration=1,IF($A128&lt;VLOOKUP(O$5,NFI,5,0),1,0)*Data_NFI_t[[#This Row],[Tarpaulin]],0)</f>
        <v>0</v>
      </c>
      <c r="AJ128" s="710">
        <f>IF(NFI_Expiration=1,IF($A128&lt;VLOOKUP(P$5,NFI,5,0),1,0)*Data_NFI_t[[#This Row],[Blanket]],0)</f>
        <v>0</v>
      </c>
      <c r="AK128" s="710">
        <f>IF(NFI_Expiration=1,IF($A128&lt;VLOOKUP(Q$5,NFI,5,0),1,0)*Data_NFI_t[[#This Row],[Kitchen Set]],0)</f>
        <v>0</v>
      </c>
      <c r="AL128" s="710">
        <f>IF(NFI_Expiration=1,IF($A128&lt;VLOOKUP(R$5,NFI,5,0),1,0)*Data_NFI_t[[#This Row],[Complementary Kit]],0)</f>
        <v>0</v>
      </c>
      <c r="AM128" s="710">
        <f>IF(NFI_Expiration=1,IF($A128&lt;VLOOKUP(S$5,NFI,5,0),1,0)*Data_NFI_t[[#This Row],[Plastic Bucket]],0)</f>
        <v>0</v>
      </c>
      <c r="AN128" s="709">
        <f>IF(NFI_Expiration=1,IF($A128&lt;VLOOKUP(T$5,NFI,5,0),1,0)*Data_NFI_t[[#This Row],[Jerry Can]],0)</f>
        <v>0</v>
      </c>
      <c r="AO128" s="709">
        <f>IF(NFI_Expiration=1,IF($A128&lt;VLOOKUP(U$5,NFI,5,0),1,0)*Data_NFI_t[[#This Row],[Plastic Mat]],0)</f>
        <v>0</v>
      </c>
      <c r="AP128" s="709">
        <f>IF(NFI_Expiration=1,IF($A128&lt;VLOOKUP(V$5,NFI,5,0),1,0)*Data_NFI_t[[#This Row],[Adult Clothes]],0)</f>
        <v>0</v>
      </c>
      <c r="AQ128" s="709">
        <f>IF(NFI_Expiration=1,IF($A128&lt;VLOOKUP(W$5,NFI,5,0),1,0)*Data_NFI_t[[#This Row],[Children Clothes]],0)</f>
        <v>0</v>
      </c>
      <c r="AR128" s="709">
        <f>IF(NFI_Expiration=1,IF($A128&lt;VLOOKUP(X$5,NFI,5,0),1,0)*Data_NFI_t[[#This Row],[Sewing Kit]],0)</f>
        <v>0</v>
      </c>
      <c r="AS128" s="709">
        <f>IF(NFI_Expiration=1,IF($A128&lt;VLOOKUP(X$5,NFI,5,0),1,0)*Data_NFI_t[[#This Row],[Solar Lantern]],0)</f>
        <v>0</v>
      </c>
      <c r="AT128" s="105" t="str">
        <f ca="1">IFERROR(OFFSET(Camp_List[P_Code],MATCH(Data_NFI_t[[#This Row],[Camp Name]],Camp_List[Camp Name],0)-1,0,1,1),"")</f>
        <v>MMR012CMP092</v>
      </c>
      <c r="AU128" s="412" t="str">
        <f ca="1">IFERROR(OFFSET(Camp_List[Status],MATCH(Data_NFI_t[[#This Row],[Camp Name]],Camp_List[Camp Name],0)-1,0,1,1),"")</f>
        <v>Open</v>
      </c>
      <c r="AV128" s="105"/>
      <c r="AY128" s="747"/>
    </row>
    <row r="129" spans="1:51" s="745" customFormat="1" ht="23.25" customHeight="1" x14ac:dyDescent="0.25">
      <c r="A129" s="711">
        <f t="shared" si="4"/>
        <v>18.933333333333334</v>
      </c>
      <c r="B129" s="712">
        <f>YEAR(Data_NFI_t[[#This Row],[Distribution Date]])</f>
        <v>2017</v>
      </c>
      <c r="C129" s="904">
        <v>42866</v>
      </c>
      <c r="D129" s="708" t="s">
        <v>1035</v>
      </c>
      <c r="E129" s="708" t="s">
        <v>1035</v>
      </c>
      <c r="F129" s="708" t="s">
        <v>7</v>
      </c>
      <c r="G129" s="713" t="s">
        <v>17</v>
      </c>
      <c r="H129" s="713" t="s">
        <v>68</v>
      </c>
      <c r="I129" s="714"/>
      <c r="J129" s="815">
        <v>998</v>
      </c>
      <c r="K129" s="816">
        <f>Data_NFI_t[[#This Row],[Household Coverage]]*5.5</f>
        <v>5489</v>
      </c>
      <c r="L129" s="715"/>
      <c r="M129" s="715">
        <v>998</v>
      </c>
      <c r="N129" s="716"/>
      <c r="O129" s="716"/>
      <c r="P129" s="716"/>
      <c r="Q129" s="716"/>
      <c r="R129" s="716"/>
      <c r="S129" s="716"/>
      <c r="T129" s="717"/>
      <c r="U129" s="716"/>
      <c r="V129" s="716"/>
      <c r="W129" s="716"/>
      <c r="X129" s="716"/>
      <c r="Y129" s="716"/>
      <c r="Z129" s="716"/>
      <c r="AA129" s="716"/>
      <c r="AB129" s="716"/>
      <c r="AC129" s="716"/>
      <c r="AD129" s="709">
        <f>IF(NFI_Expiration=1,IF($A129&lt;VLOOKUP(I$5,NFI,5,0),1,0)*Data_NFI_t[[#This Row],[Hygiene Kit]],0)</f>
        <v>0</v>
      </c>
      <c r="AE129" s="709">
        <f>IF(NFI_Expiration=1,IF($A129&lt;VLOOKUP(L$5,NFI,5,0),1,0)*Data_NFI_t[[#This Row],[NFI Core Kit]],0)</f>
        <v>0</v>
      </c>
      <c r="AF129" s="710">
        <f>IF(NFI_Expiration=1,IF($A129&lt;VLOOKUP(M$5,NFI,5,0),1,0)*Data_NFI_t[[#This Row],[Sanitary Kit]],0)</f>
        <v>0</v>
      </c>
      <c r="AG129" s="1055">
        <f>IF(NFI_Expiration=1,IF($A129&lt;VLOOKUP(AC$5,NFI,5,0),1,0)*Data_NFI_t[[#This Row],[Rope]],0)</f>
        <v>0</v>
      </c>
      <c r="AH129" s="710">
        <f>IF(NFI_Expiration=1,IF($A129&lt;VLOOKUP(N$5,NFI,5,0),1,0)*Data_NFI_t[[#This Row],[Mosquito net]],0)</f>
        <v>0</v>
      </c>
      <c r="AI129" s="710">
        <f>IF(NFI_Expiration=1,IF($A129&lt;VLOOKUP(O$5,NFI,5,0),1,0)*Data_NFI_t[[#This Row],[Tarpaulin]],0)</f>
        <v>0</v>
      </c>
      <c r="AJ129" s="710">
        <f>IF(NFI_Expiration=1,IF($A129&lt;VLOOKUP(P$5,NFI,5,0),1,0)*Data_NFI_t[[#This Row],[Blanket]],0)</f>
        <v>0</v>
      </c>
      <c r="AK129" s="710">
        <f>IF(NFI_Expiration=1,IF($A129&lt;VLOOKUP(Q$5,NFI,5,0),1,0)*Data_NFI_t[[#This Row],[Kitchen Set]],0)</f>
        <v>0</v>
      </c>
      <c r="AL129" s="710">
        <f>IF(NFI_Expiration=1,IF($A129&lt;VLOOKUP(R$5,NFI,5,0),1,0)*Data_NFI_t[[#This Row],[Complementary Kit]],0)</f>
        <v>0</v>
      </c>
      <c r="AM129" s="710">
        <f>IF(NFI_Expiration=1,IF($A129&lt;VLOOKUP(S$5,NFI,5,0),1,0)*Data_NFI_t[[#This Row],[Plastic Bucket]],0)</f>
        <v>0</v>
      </c>
      <c r="AN129" s="709">
        <f>IF(NFI_Expiration=1,IF($A129&lt;VLOOKUP(T$5,NFI,5,0),1,0)*Data_NFI_t[[#This Row],[Jerry Can]],0)</f>
        <v>0</v>
      </c>
      <c r="AO129" s="709">
        <f>IF(NFI_Expiration=1,IF($A129&lt;VLOOKUP(U$5,NFI,5,0),1,0)*Data_NFI_t[[#This Row],[Plastic Mat]],0)</f>
        <v>0</v>
      </c>
      <c r="AP129" s="709">
        <f>IF(NFI_Expiration=1,IF($A129&lt;VLOOKUP(V$5,NFI,5,0),1,0)*Data_NFI_t[[#This Row],[Adult Clothes]],0)</f>
        <v>0</v>
      </c>
      <c r="AQ129" s="709">
        <f>IF(NFI_Expiration=1,IF($A129&lt;VLOOKUP(W$5,NFI,5,0),1,0)*Data_NFI_t[[#This Row],[Children Clothes]],0)</f>
        <v>0</v>
      </c>
      <c r="AR129" s="709">
        <f>IF(NFI_Expiration=1,IF($A129&lt;VLOOKUP(X$5,NFI,5,0),1,0)*Data_NFI_t[[#This Row],[Sewing Kit]],0)</f>
        <v>0</v>
      </c>
      <c r="AS129" s="709">
        <f>IF(NFI_Expiration=1,IF($A129&lt;VLOOKUP(X$5,NFI,5,0),1,0)*Data_NFI_t[[#This Row],[Solar Lantern]],0)</f>
        <v>0</v>
      </c>
      <c r="AT129" s="105" t="str">
        <f ca="1">IFERROR(OFFSET(Camp_List[P_Code],MATCH(Data_NFI_t[[#This Row],[Camp Name]],Camp_List[Camp Name],0)-1,0,1,1),"")</f>
        <v>MMR012CMP048</v>
      </c>
      <c r="AU129" s="412" t="str">
        <f ca="1">IFERROR(OFFSET(Camp_List[Status],MATCH(Data_NFI_t[[#This Row],[Camp Name]],Camp_List[Camp Name],0)-1,0,1,1),"")</f>
        <v>Open</v>
      </c>
      <c r="AV129" s="105"/>
      <c r="AY129" s="747"/>
    </row>
    <row r="130" spans="1:51" s="745" customFormat="1" ht="23.25" customHeight="1" x14ac:dyDescent="0.25">
      <c r="A130" s="711">
        <f t="shared" si="4"/>
        <v>19.133333333333333</v>
      </c>
      <c r="B130" s="712">
        <f>YEAR(Data_NFI_t[[#This Row],[Distribution Date]])</f>
        <v>2017</v>
      </c>
      <c r="C130" s="904">
        <v>42860</v>
      </c>
      <c r="D130" s="708" t="s">
        <v>270</v>
      </c>
      <c r="E130" s="708" t="s">
        <v>270</v>
      </c>
      <c r="F130" s="708" t="s">
        <v>7</v>
      </c>
      <c r="G130" s="713" t="s">
        <v>14</v>
      </c>
      <c r="H130" s="713" t="s">
        <v>45</v>
      </c>
      <c r="I130" s="714"/>
      <c r="J130" s="804">
        <v>91</v>
      </c>
      <c r="K130" s="804">
        <v>500</v>
      </c>
      <c r="L130" s="715"/>
      <c r="M130" s="715"/>
      <c r="N130" s="716">
        <v>182</v>
      </c>
      <c r="O130" s="716">
        <v>182</v>
      </c>
      <c r="P130" s="716">
        <v>182</v>
      </c>
      <c r="Q130" s="716">
        <v>91</v>
      </c>
      <c r="R130" s="716"/>
      <c r="S130" s="716"/>
      <c r="T130" s="717">
        <v>91</v>
      </c>
      <c r="U130" s="716">
        <v>455</v>
      </c>
      <c r="V130" s="716"/>
      <c r="W130" s="716"/>
      <c r="X130" s="716"/>
      <c r="Y130" s="716"/>
      <c r="Z130" s="716"/>
      <c r="AA130" s="716"/>
      <c r="AB130" s="716"/>
      <c r="AC130" s="716"/>
      <c r="AD130" s="709">
        <f>IF(NFI_Expiration=1,IF($A130&lt;VLOOKUP(I$5,NFI,5,0),1,0)*Data_NFI_t[[#This Row],[Hygiene Kit]],0)</f>
        <v>0</v>
      </c>
      <c r="AE130" s="709">
        <f>IF(NFI_Expiration=1,IF($A130&lt;VLOOKUP(L$5,NFI,5,0),1,0)*Data_NFI_t[[#This Row],[NFI Core Kit]],0)</f>
        <v>0</v>
      </c>
      <c r="AF130" s="710">
        <f>IF(NFI_Expiration=1,IF($A130&lt;VLOOKUP(M$5,NFI,5,0),1,0)*Data_NFI_t[[#This Row],[Sanitary Kit]],0)</f>
        <v>0</v>
      </c>
      <c r="AG130" s="1055">
        <f>IF(NFI_Expiration=1,IF($A130&lt;VLOOKUP(AC$5,NFI,5,0),1,0)*Data_NFI_t[[#This Row],[Rope]],0)</f>
        <v>0</v>
      </c>
      <c r="AH130" s="710">
        <f>IF(NFI_Expiration=1,IF($A130&lt;VLOOKUP(N$5,NFI,5,0),1,0)*Data_NFI_t[[#This Row],[Mosquito net]],0)</f>
        <v>0</v>
      </c>
      <c r="AI130" s="710">
        <f>IF(NFI_Expiration=1,IF($A130&lt;VLOOKUP(O$5,NFI,5,0),1,0)*Data_NFI_t[[#This Row],[Tarpaulin]],0)</f>
        <v>0</v>
      </c>
      <c r="AJ130" s="710">
        <f>IF(NFI_Expiration=1,IF($A130&lt;VLOOKUP(P$5,NFI,5,0),1,0)*Data_NFI_t[[#This Row],[Blanket]],0)</f>
        <v>0</v>
      </c>
      <c r="AK130" s="710">
        <f>IF(NFI_Expiration=1,IF($A130&lt;VLOOKUP(Q$5,NFI,5,0),1,0)*Data_NFI_t[[#This Row],[Kitchen Set]],0)</f>
        <v>0</v>
      </c>
      <c r="AL130" s="710">
        <f>IF(NFI_Expiration=1,IF($A130&lt;VLOOKUP(R$5,NFI,5,0),1,0)*Data_NFI_t[[#This Row],[Complementary Kit]],0)</f>
        <v>0</v>
      </c>
      <c r="AM130" s="710">
        <f>IF(NFI_Expiration=1,IF($A130&lt;VLOOKUP(S$5,NFI,5,0),1,0)*Data_NFI_t[[#This Row],[Plastic Bucket]],0)</f>
        <v>0</v>
      </c>
      <c r="AN130" s="709">
        <f>IF(NFI_Expiration=1,IF($A130&lt;VLOOKUP(T$5,NFI,5,0),1,0)*Data_NFI_t[[#This Row],[Jerry Can]],0)</f>
        <v>0</v>
      </c>
      <c r="AO130" s="709">
        <f>IF(NFI_Expiration=1,IF($A130&lt;VLOOKUP(U$5,NFI,5,0),1,0)*Data_NFI_t[[#This Row],[Plastic Mat]],0)</f>
        <v>0</v>
      </c>
      <c r="AP130" s="709">
        <f>IF(NFI_Expiration=1,IF($A130&lt;VLOOKUP(V$5,NFI,5,0),1,0)*Data_NFI_t[[#This Row],[Adult Clothes]],0)</f>
        <v>0</v>
      </c>
      <c r="AQ130" s="709">
        <f>IF(NFI_Expiration=1,IF($A130&lt;VLOOKUP(W$5,NFI,5,0),1,0)*Data_NFI_t[[#This Row],[Children Clothes]],0)</f>
        <v>0</v>
      </c>
      <c r="AR130" s="709">
        <f>IF(NFI_Expiration=1,IF($A130&lt;VLOOKUP(X$5,NFI,5,0),1,0)*Data_NFI_t[[#This Row],[Sewing Kit]],0)</f>
        <v>0</v>
      </c>
      <c r="AS130" s="709">
        <f>IF(NFI_Expiration=1,IF($A130&lt;VLOOKUP(X$5,NFI,5,0),1,0)*Data_NFI_t[[#This Row],[Solar Lantern]],0)</f>
        <v>0</v>
      </c>
      <c r="AT130" s="105" t="str">
        <f ca="1">IFERROR(OFFSET(Camp_List[P_Code],MATCH(Data_NFI_t[[#This Row],[Camp Name]],Camp_List[Camp Name],0)-1,0,1,1),"")</f>
        <v>MMR012CMP023</v>
      </c>
      <c r="AU130" s="412" t="str">
        <f ca="1">IFERROR(OFFSET(Camp_List[Status],MATCH(Data_NFI_t[[#This Row],[Camp Name]],Camp_List[Camp Name],0)-1,0,1,1),"")</f>
        <v>Open</v>
      </c>
      <c r="AV130" s="105"/>
      <c r="AY130" s="747"/>
    </row>
    <row r="131" spans="1:51" s="745" customFormat="1" ht="16.5" customHeight="1" x14ac:dyDescent="0.25">
      <c r="A131" s="711">
        <f t="shared" si="4"/>
        <v>19.433333333333334</v>
      </c>
      <c r="B131" s="712">
        <f>YEAR(Data_NFI_t[[#This Row],[Distribution Date]])</f>
        <v>2017</v>
      </c>
      <c r="C131" s="904">
        <v>42851</v>
      </c>
      <c r="D131" s="708" t="s">
        <v>270</v>
      </c>
      <c r="E131" s="708" t="s">
        <v>575</v>
      </c>
      <c r="F131" s="708" t="s">
        <v>7</v>
      </c>
      <c r="G131" s="713" t="s">
        <v>13</v>
      </c>
      <c r="H131" s="713" t="s">
        <v>982</v>
      </c>
      <c r="I131" s="714"/>
      <c r="J131" s="800">
        <v>148</v>
      </c>
      <c r="K131" s="808">
        <f>J131*5.5</f>
        <v>814</v>
      </c>
      <c r="L131" s="715"/>
      <c r="M131" s="715"/>
      <c r="N131" s="716"/>
      <c r="O131" s="716"/>
      <c r="P131" s="716"/>
      <c r="Q131" s="716"/>
      <c r="R131" s="716"/>
      <c r="S131" s="716"/>
      <c r="T131" s="717"/>
      <c r="U131" s="716"/>
      <c r="V131" s="716"/>
      <c r="W131" s="716"/>
      <c r="X131" s="716"/>
      <c r="Y131" s="716">
        <v>148</v>
      </c>
      <c r="Z131" s="716"/>
      <c r="AA131" s="716"/>
      <c r="AB131" s="716"/>
      <c r="AC131" s="716"/>
      <c r="AD131" s="709">
        <f>IF(NFI_Expiration=1,IF($A131&lt;VLOOKUP(I$5,NFI,5,0),1,0)*Data_NFI_t[[#This Row],[Hygiene Kit]],0)</f>
        <v>0</v>
      </c>
      <c r="AE131" s="709">
        <f>IF(NFI_Expiration=1,IF($A131&lt;VLOOKUP(L$5,NFI,5,0),1,0)*Data_NFI_t[[#This Row],[NFI Core Kit]],0)</f>
        <v>0</v>
      </c>
      <c r="AF131" s="710">
        <f>IF(NFI_Expiration=1,IF($A131&lt;VLOOKUP(M$5,NFI,5,0),1,0)*Data_NFI_t[[#This Row],[Sanitary Kit]],0)</f>
        <v>0</v>
      </c>
      <c r="AG131" s="1055">
        <f>IF(NFI_Expiration=1,IF($A131&lt;VLOOKUP(AC$5,NFI,5,0),1,0)*Data_NFI_t[[#This Row],[Rope]],0)</f>
        <v>0</v>
      </c>
      <c r="AH131" s="710">
        <f>IF(NFI_Expiration=1,IF($A131&lt;VLOOKUP(N$5,NFI,5,0),1,0)*Data_NFI_t[[#This Row],[Mosquito net]],0)</f>
        <v>0</v>
      </c>
      <c r="AI131" s="710">
        <f>IF(NFI_Expiration=1,IF($A131&lt;VLOOKUP(O$5,NFI,5,0),1,0)*Data_NFI_t[[#This Row],[Tarpaulin]],0)</f>
        <v>0</v>
      </c>
      <c r="AJ131" s="710">
        <f>IF(NFI_Expiration=1,IF($A131&lt;VLOOKUP(P$5,NFI,5,0),1,0)*Data_NFI_t[[#This Row],[Blanket]],0)</f>
        <v>0</v>
      </c>
      <c r="AK131" s="710">
        <f>IF(NFI_Expiration=1,IF($A131&lt;VLOOKUP(Q$5,NFI,5,0),1,0)*Data_NFI_t[[#This Row],[Kitchen Set]],0)</f>
        <v>0</v>
      </c>
      <c r="AL131" s="710">
        <f>IF(NFI_Expiration=1,IF($A131&lt;VLOOKUP(R$5,NFI,5,0),1,0)*Data_NFI_t[[#This Row],[Complementary Kit]],0)</f>
        <v>0</v>
      </c>
      <c r="AM131" s="710">
        <f>IF(NFI_Expiration=1,IF($A131&lt;VLOOKUP(S$5,NFI,5,0),1,0)*Data_NFI_t[[#This Row],[Plastic Bucket]],0)</f>
        <v>0</v>
      </c>
      <c r="AN131" s="709">
        <f>IF(NFI_Expiration=1,IF($A131&lt;VLOOKUP(T$5,NFI,5,0),1,0)*Data_NFI_t[[#This Row],[Jerry Can]],0)</f>
        <v>0</v>
      </c>
      <c r="AO131" s="709">
        <f>IF(NFI_Expiration=1,IF($A131&lt;VLOOKUP(U$5,NFI,5,0),1,0)*Data_NFI_t[[#This Row],[Plastic Mat]],0)</f>
        <v>0</v>
      </c>
      <c r="AP131" s="709">
        <f>IF(NFI_Expiration=1,IF($A131&lt;VLOOKUP(V$5,NFI,5,0),1,0)*Data_NFI_t[[#This Row],[Adult Clothes]],0)</f>
        <v>0</v>
      </c>
      <c r="AQ131" s="709">
        <f>IF(NFI_Expiration=1,IF($A131&lt;VLOOKUP(W$5,NFI,5,0),1,0)*Data_NFI_t[[#This Row],[Children Clothes]],0)</f>
        <v>0</v>
      </c>
      <c r="AR131" s="709">
        <f>IF(NFI_Expiration=1,IF($A131&lt;VLOOKUP(X$5,NFI,5,0),1,0)*Data_NFI_t[[#This Row],[Sewing Kit]],0)</f>
        <v>0</v>
      </c>
      <c r="AS131" s="709">
        <f>IF(NFI_Expiration=1,IF($A131&lt;VLOOKUP(X$5,NFI,5,0),1,0)*Data_NFI_t[[#This Row],[Solar Lantern]],0)</f>
        <v>0</v>
      </c>
      <c r="AT131" s="105" t="str">
        <f ca="1">IFERROR(OFFSET(Camp_List[P_Code],MATCH(Data_NFI_t[[#This Row],[Camp Name]],Camp_List[Camp Name],0)-1,0,1,1),"")</f>
        <v>MMR012CMP017</v>
      </c>
      <c r="AU131" s="412" t="str">
        <f ca="1">IFERROR(OFFSET(Camp_List[Status],MATCH(Data_NFI_t[[#This Row],[Camp Name]],Camp_List[Camp Name],0)-1,0,1,1),"")</f>
        <v>Open</v>
      </c>
      <c r="AV131" s="105"/>
      <c r="AY131" s="747"/>
    </row>
    <row r="132" spans="1:51" s="745" customFormat="1" ht="16.5" customHeight="1" x14ac:dyDescent="0.25">
      <c r="A132" s="711">
        <f t="shared" si="4"/>
        <v>19.466666666666665</v>
      </c>
      <c r="B132" s="712">
        <f>YEAR(Data_NFI_t[[#This Row],[Distribution Date]])</f>
        <v>2017</v>
      </c>
      <c r="C132" s="904">
        <v>42850</v>
      </c>
      <c r="D132" s="708" t="s">
        <v>270</v>
      </c>
      <c r="E132" s="708" t="s">
        <v>575</v>
      </c>
      <c r="F132" s="708" t="s">
        <v>7</v>
      </c>
      <c r="G132" s="713" t="s">
        <v>13</v>
      </c>
      <c r="H132" s="713" t="s">
        <v>38</v>
      </c>
      <c r="I132" s="714"/>
      <c r="J132" s="801">
        <v>241</v>
      </c>
      <c r="K132" s="807">
        <v>1325</v>
      </c>
      <c r="L132" s="715"/>
      <c r="M132" s="715"/>
      <c r="N132" s="716"/>
      <c r="O132" s="716"/>
      <c r="P132" s="716"/>
      <c r="Q132" s="716"/>
      <c r="R132" s="716"/>
      <c r="S132" s="716"/>
      <c r="T132" s="717"/>
      <c r="U132" s="716"/>
      <c r="V132" s="716"/>
      <c r="W132" s="716"/>
      <c r="X132" s="716"/>
      <c r="Y132" s="716">
        <v>241</v>
      </c>
      <c r="Z132" s="716"/>
      <c r="AA132" s="716"/>
      <c r="AB132" s="716"/>
      <c r="AC132" s="716"/>
      <c r="AD132" s="709">
        <f>IF(NFI_Expiration=1,IF($A132&lt;VLOOKUP(I$5,NFI,5,0),1,0)*Data_NFI_t[[#This Row],[Hygiene Kit]],0)</f>
        <v>0</v>
      </c>
      <c r="AE132" s="709">
        <f>IF(NFI_Expiration=1,IF($A132&lt;VLOOKUP(L$5,NFI,5,0),1,0)*Data_NFI_t[[#This Row],[NFI Core Kit]],0)</f>
        <v>0</v>
      </c>
      <c r="AF132" s="710">
        <f>IF(NFI_Expiration=1,IF($A132&lt;VLOOKUP(M$5,NFI,5,0),1,0)*Data_NFI_t[[#This Row],[Sanitary Kit]],0)</f>
        <v>0</v>
      </c>
      <c r="AG132" s="1055">
        <f>IF(NFI_Expiration=1,IF($A132&lt;VLOOKUP(AC$5,NFI,5,0),1,0)*Data_NFI_t[[#This Row],[Rope]],0)</f>
        <v>0</v>
      </c>
      <c r="AH132" s="710">
        <f>IF(NFI_Expiration=1,IF($A132&lt;VLOOKUP(N$5,NFI,5,0),1,0)*Data_NFI_t[[#This Row],[Mosquito net]],0)</f>
        <v>0</v>
      </c>
      <c r="AI132" s="710">
        <f>IF(NFI_Expiration=1,IF($A132&lt;VLOOKUP(O$5,NFI,5,0),1,0)*Data_NFI_t[[#This Row],[Tarpaulin]],0)</f>
        <v>0</v>
      </c>
      <c r="AJ132" s="710">
        <f>IF(NFI_Expiration=1,IF($A132&lt;VLOOKUP(P$5,NFI,5,0),1,0)*Data_NFI_t[[#This Row],[Blanket]],0)</f>
        <v>0</v>
      </c>
      <c r="AK132" s="710">
        <f>IF(NFI_Expiration=1,IF($A132&lt;VLOOKUP(Q$5,NFI,5,0),1,0)*Data_NFI_t[[#This Row],[Kitchen Set]],0)</f>
        <v>0</v>
      </c>
      <c r="AL132" s="710">
        <f>IF(NFI_Expiration=1,IF($A132&lt;VLOOKUP(R$5,NFI,5,0),1,0)*Data_NFI_t[[#This Row],[Complementary Kit]],0)</f>
        <v>0</v>
      </c>
      <c r="AM132" s="710">
        <f>IF(NFI_Expiration=1,IF($A132&lt;VLOOKUP(S$5,NFI,5,0),1,0)*Data_NFI_t[[#This Row],[Plastic Bucket]],0)</f>
        <v>0</v>
      </c>
      <c r="AN132" s="709">
        <f>IF(NFI_Expiration=1,IF($A132&lt;VLOOKUP(T$5,NFI,5,0),1,0)*Data_NFI_t[[#This Row],[Jerry Can]],0)</f>
        <v>0</v>
      </c>
      <c r="AO132" s="709">
        <f>IF(NFI_Expiration=1,IF($A132&lt;VLOOKUP(U$5,NFI,5,0),1,0)*Data_NFI_t[[#This Row],[Plastic Mat]],0)</f>
        <v>0</v>
      </c>
      <c r="AP132" s="709">
        <f>IF(NFI_Expiration=1,IF($A132&lt;VLOOKUP(V$5,NFI,5,0),1,0)*Data_NFI_t[[#This Row],[Adult Clothes]],0)</f>
        <v>0</v>
      </c>
      <c r="AQ132" s="709">
        <f>IF(NFI_Expiration=1,IF($A132&lt;VLOOKUP(W$5,NFI,5,0),1,0)*Data_NFI_t[[#This Row],[Children Clothes]],0)</f>
        <v>0</v>
      </c>
      <c r="AR132" s="709">
        <f>IF(NFI_Expiration=1,IF($A132&lt;VLOOKUP(X$5,NFI,5,0),1,0)*Data_NFI_t[[#This Row],[Sewing Kit]],0)</f>
        <v>0</v>
      </c>
      <c r="AS132" s="709">
        <f>IF(NFI_Expiration=1,IF($A132&lt;VLOOKUP(X$5,NFI,5,0),1,0)*Data_NFI_t[[#This Row],[Solar Lantern]],0)</f>
        <v>0</v>
      </c>
      <c r="AT132" s="105" t="str">
        <f ca="1">IFERROR(OFFSET(Camp_List[P_Code],MATCH(Data_NFI_t[[#This Row],[Camp Name]],Camp_List[Camp Name],0)-1,0,1,1),"")</f>
        <v>MMR012CMP016</v>
      </c>
      <c r="AU132" s="412" t="str">
        <f ca="1">IFERROR(OFFSET(Camp_List[Status],MATCH(Data_NFI_t[[#This Row],[Camp Name]],Camp_List[Camp Name],0)-1,0,1,1),"")</f>
        <v>Open</v>
      </c>
      <c r="AV132" s="105"/>
      <c r="AY132" s="747"/>
    </row>
    <row r="133" spans="1:51" s="745" customFormat="1" ht="16.5" customHeight="1" x14ac:dyDescent="0.25">
      <c r="A133" s="711">
        <f t="shared" si="4"/>
        <v>19.933333333333334</v>
      </c>
      <c r="B133" s="712">
        <f>YEAR(Data_NFI_t[[#This Row],[Distribution Date]])</f>
        <v>2017</v>
      </c>
      <c r="C133" s="904">
        <v>42836</v>
      </c>
      <c r="D133" s="708" t="s">
        <v>1035</v>
      </c>
      <c r="E133" s="708" t="s">
        <v>1035</v>
      </c>
      <c r="F133" s="708" t="s">
        <v>7</v>
      </c>
      <c r="G133" s="713" t="s">
        <v>17</v>
      </c>
      <c r="H133" s="713" t="s">
        <v>580</v>
      </c>
      <c r="I133" s="714"/>
      <c r="J133" s="815">
        <v>6</v>
      </c>
      <c r="K133" s="815">
        <v>33</v>
      </c>
      <c r="L133" s="715"/>
      <c r="M133" s="715"/>
      <c r="N133" s="716"/>
      <c r="O133" s="716"/>
      <c r="P133" s="716"/>
      <c r="Q133" s="716"/>
      <c r="R133" s="716">
        <v>6</v>
      </c>
      <c r="S133" s="716"/>
      <c r="T133" s="717"/>
      <c r="U133" s="716"/>
      <c r="V133" s="716"/>
      <c r="W133" s="716"/>
      <c r="X133" s="716"/>
      <c r="Y133" s="716"/>
      <c r="Z133" s="716"/>
      <c r="AA133" s="716"/>
      <c r="AB133" s="716"/>
      <c r="AC133" s="716"/>
      <c r="AD133" s="709">
        <f>IF(NFI_Expiration=1,IF($A133&lt;VLOOKUP(I$5,NFI,5,0),1,0)*Data_NFI_t[[#This Row],[Hygiene Kit]],0)</f>
        <v>0</v>
      </c>
      <c r="AE133" s="709">
        <f>IF(NFI_Expiration=1,IF($A133&lt;VLOOKUP(L$5,NFI,5,0),1,0)*Data_NFI_t[[#This Row],[NFI Core Kit]],0)</f>
        <v>0</v>
      </c>
      <c r="AF133" s="710">
        <f>IF(NFI_Expiration=1,IF($A133&lt;VLOOKUP(M$5,NFI,5,0),1,0)*Data_NFI_t[[#This Row],[Sanitary Kit]],0)</f>
        <v>0</v>
      </c>
      <c r="AG133" s="1055">
        <f>IF(NFI_Expiration=1,IF($A133&lt;VLOOKUP(AC$5,NFI,5,0),1,0)*Data_NFI_t[[#This Row],[Rope]],0)</f>
        <v>0</v>
      </c>
      <c r="AH133" s="710">
        <f>IF(NFI_Expiration=1,IF($A133&lt;VLOOKUP(N$5,NFI,5,0),1,0)*Data_NFI_t[[#This Row],[Mosquito net]],0)</f>
        <v>0</v>
      </c>
      <c r="AI133" s="710">
        <f>IF(NFI_Expiration=1,IF($A133&lt;VLOOKUP(O$5,NFI,5,0),1,0)*Data_NFI_t[[#This Row],[Tarpaulin]],0)</f>
        <v>0</v>
      </c>
      <c r="AJ133" s="710">
        <f>IF(NFI_Expiration=1,IF($A133&lt;VLOOKUP(P$5,NFI,5,0),1,0)*Data_NFI_t[[#This Row],[Blanket]],0)</f>
        <v>0</v>
      </c>
      <c r="AK133" s="710">
        <f>IF(NFI_Expiration=1,IF($A133&lt;VLOOKUP(Q$5,NFI,5,0),1,0)*Data_NFI_t[[#This Row],[Kitchen Set]],0)</f>
        <v>0</v>
      </c>
      <c r="AL133" s="710">
        <f>IF(NFI_Expiration=1,IF($A133&lt;VLOOKUP(R$5,NFI,5,0),1,0)*Data_NFI_t[[#This Row],[Complementary Kit]],0)</f>
        <v>0</v>
      </c>
      <c r="AM133" s="710">
        <f>IF(NFI_Expiration=1,IF($A133&lt;VLOOKUP(S$5,NFI,5,0),1,0)*Data_NFI_t[[#This Row],[Plastic Bucket]],0)</f>
        <v>0</v>
      </c>
      <c r="AN133" s="709">
        <f>IF(NFI_Expiration=1,IF($A133&lt;VLOOKUP(T$5,NFI,5,0),1,0)*Data_NFI_t[[#This Row],[Jerry Can]],0)</f>
        <v>0</v>
      </c>
      <c r="AO133" s="709">
        <f>IF(NFI_Expiration=1,IF($A133&lt;VLOOKUP(U$5,NFI,5,0),1,0)*Data_NFI_t[[#This Row],[Plastic Mat]],0)</f>
        <v>0</v>
      </c>
      <c r="AP133" s="709">
        <f>IF(NFI_Expiration=1,IF($A133&lt;VLOOKUP(V$5,NFI,5,0),1,0)*Data_NFI_t[[#This Row],[Adult Clothes]],0)</f>
        <v>0</v>
      </c>
      <c r="AQ133" s="709">
        <f>IF(NFI_Expiration=1,IF($A133&lt;VLOOKUP(W$5,NFI,5,0),1,0)*Data_NFI_t[[#This Row],[Children Clothes]],0)</f>
        <v>0</v>
      </c>
      <c r="AR133" s="709">
        <f>IF(NFI_Expiration=1,IF($A133&lt;VLOOKUP(X$5,NFI,5,0),1,0)*Data_NFI_t[[#This Row],[Sewing Kit]],0)</f>
        <v>0</v>
      </c>
      <c r="AS133" s="709">
        <f>IF(NFI_Expiration=1,IF($A133&lt;VLOOKUP(X$5,NFI,5,0),1,0)*Data_NFI_t[[#This Row],[Solar Lantern]],0)</f>
        <v>0</v>
      </c>
      <c r="AT133" s="105" t="str">
        <f ca="1">IFERROR(OFFSET(Camp_List[P_Code],MATCH(Data_NFI_t[[#This Row],[Camp Name]],Camp_List[Camp Name],0)-1,0,1,1),"")</f>
        <v>MMR012CMP092</v>
      </c>
      <c r="AU133" s="412" t="str">
        <f ca="1">IFERROR(OFFSET(Camp_List[Status],MATCH(Data_NFI_t[[#This Row],[Camp Name]],Camp_List[Camp Name],0)-1,0,1,1),"")</f>
        <v>Open</v>
      </c>
      <c r="AV133" s="105"/>
      <c r="AY133" s="747"/>
    </row>
    <row r="134" spans="1:51" s="745" customFormat="1" ht="16.5" customHeight="1" x14ac:dyDescent="0.25">
      <c r="A134" s="711">
        <f t="shared" si="4"/>
        <v>19.966666666666665</v>
      </c>
      <c r="B134" s="712">
        <f>YEAR(Data_NFI_t[[#This Row],[Distribution Date]])</f>
        <v>2017</v>
      </c>
      <c r="C134" s="904">
        <v>42835</v>
      </c>
      <c r="D134" s="708" t="s">
        <v>1035</v>
      </c>
      <c r="E134" s="708" t="s">
        <v>1035</v>
      </c>
      <c r="F134" s="708" t="s">
        <v>7</v>
      </c>
      <c r="G134" s="713" t="s">
        <v>17</v>
      </c>
      <c r="H134" s="713" t="s">
        <v>68</v>
      </c>
      <c r="I134" s="714"/>
      <c r="J134" s="815">
        <v>125</v>
      </c>
      <c r="K134" s="815">
        <v>625</v>
      </c>
      <c r="L134" s="715"/>
      <c r="M134" s="715"/>
      <c r="N134" s="716"/>
      <c r="O134" s="716"/>
      <c r="P134" s="716"/>
      <c r="Q134" s="716"/>
      <c r="R134" s="716"/>
      <c r="S134" s="716"/>
      <c r="T134" s="717">
        <v>125</v>
      </c>
      <c r="U134" s="716"/>
      <c r="V134" s="716"/>
      <c r="W134" s="716"/>
      <c r="X134" s="716"/>
      <c r="Y134" s="716"/>
      <c r="Z134" s="716"/>
      <c r="AA134" s="716"/>
      <c r="AB134" s="716"/>
      <c r="AC134" s="716"/>
      <c r="AD134" s="709">
        <f>IF(NFI_Expiration=1,IF($A134&lt;VLOOKUP(I$5,NFI,5,0),1,0)*Data_NFI_t[[#This Row],[Hygiene Kit]],0)</f>
        <v>0</v>
      </c>
      <c r="AE134" s="709">
        <f>IF(NFI_Expiration=1,IF($A134&lt;VLOOKUP(L$5,NFI,5,0),1,0)*Data_NFI_t[[#This Row],[NFI Core Kit]],0)</f>
        <v>0</v>
      </c>
      <c r="AF134" s="710">
        <f>IF(NFI_Expiration=1,IF($A134&lt;VLOOKUP(M$5,NFI,5,0),1,0)*Data_NFI_t[[#This Row],[Sanitary Kit]],0)</f>
        <v>0</v>
      </c>
      <c r="AG134" s="1055">
        <f>IF(NFI_Expiration=1,IF($A134&lt;VLOOKUP(AC$5,NFI,5,0),1,0)*Data_NFI_t[[#This Row],[Rope]],0)</f>
        <v>0</v>
      </c>
      <c r="AH134" s="710">
        <f>IF(NFI_Expiration=1,IF($A134&lt;VLOOKUP(N$5,NFI,5,0),1,0)*Data_NFI_t[[#This Row],[Mosquito net]],0)</f>
        <v>0</v>
      </c>
      <c r="AI134" s="710">
        <f>IF(NFI_Expiration=1,IF($A134&lt;VLOOKUP(O$5,NFI,5,0),1,0)*Data_NFI_t[[#This Row],[Tarpaulin]],0)</f>
        <v>0</v>
      </c>
      <c r="AJ134" s="710">
        <f>IF(NFI_Expiration=1,IF($A134&lt;VLOOKUP(P$5,NFI,5,0),1,0)*Data_NFI_t[[#This Row],[Blanket]],0)</f>
        <v>0</v>
      </c>
      <c r="AK134" s="710">
        <f>IF(NFI_Expiration=1,IF($A134&lt;VLOOKUP(Q$5,NFI,5,0),1,0)*Data_NFI_t[[#This Row],[Kitchen Set]],0)</f>
        <v>0</v>
      </c>
      <c r="AL134" s="710">
        <f>IF(NFI_Expiration=1,IF($A134&lt;VLOOKUP(R$5,NFI,5,0),1,0)*Data_NFI_t[[#This Row],[Complementary Kit]],0)</f>
        <v>0</v>
      </c>
      <c r="AM134" s="710">
        <f>IF(NFI_Expiration=1,IF($A134&lt;VLOOKUP(S$5,NFI,5,0),1,0)*Data_NFI_t[[#This Row],[Plastic Bucket]],0)</f>
        <v>0</v>
      </c>
      <c r="AN134" s="709">
        <f>IF(NFI_Expiration=1,IF($A134&lt;VLOOKUP(T$5,NFI,5,0),1,0)*Data_NFI_t[[#This Row],[Jerry Can]],0)</f>
        <v>0</v>
      </c>
      <c r="AO134" s="709">
        <f>IF(NFI_Expiration=1,IF($A134&lt;VLOOKUP(U$5,NFI,5,0),1,0)*Data_NFI_t[[#This Row],[Plastic Mat]],0)</f>
        <v>0</v>
      </c>
      <c r="AP134" s="709">
        <f>IF(NFI_Expiration=1,IF($A134&lt;VLOOKUP(V$5,NFI,5,0),1,0)*Data_NFI_t[[#This Row],[Adult Clothes]],0)</f>
        <v>0</v>
      </c>
      <c r="AQ134" s="709">
        <f>IF(NFI_Expiration=1,IF($A134&lt;VLOOKUP(W$5,NFI,5,0),1,0)*Data_NFI_t[[#This Row],[Children Clothes]],0)</f>
        <v>0</v>
      </c>
      <c r="AR134" s="709">
        <f>IF(NFI_Expiration=1,IF($A134&lt;VLOOKUP(X$5,NFI,5,0),1,0)*Data_NFI_t[[#This Row],[Sewing Kit]],0)</f>
        <v>0</v>
      </c>
      <c r="AS134" s="709">
        <f>IF(NFI_Expiration=1,IF($A134&lt;VLOOKUP(X$5,NFI,5,0),1,0)*Data_NFI_t[[#This Row],[Solar Lantern]],0)</f>
        <v>0</v>
      </c>
      <c r="AT134" s="105" t="str">
        <f ca="1">IFERROR(OFFSET(Camp_List[P_Code],MATCH(Data_NFI_t[[#This Row],[Camp Name]],Camp_List[Camp Name],0)-1,0,1,1),"")</f>
        <v>MMR012CMP048</v>
      </c>
      <c r="AU134" s="412" t="str">
        <f ca="1">IFERROR(OFFSET(Camp_List[Status],MATCH(Data_NFI_t[[#This Row],[Camp Name]],Camp_List[Camp Name],0)-1,0,1,1),"")</f>
        <v>Open</v>
      </c>
      <c r="AV134" s="105"/>
      <c r="AY134" s="747"/>
    </row>
    <row r="135" spans="1:51" s="745" customFormat="1" ht="16.5" customHeight="1" x14ac:dyDescent="0.25">
      <c r="A135" s="711">
        <f t="shared" si="4"/>
        <v>20.066666666666666</v>
      </c>
      <c r="B135" s="712">
        <f>YEAR(Data_NFI_t[[#This Row],[Distribution Date]])</f>
        <v>2017</v>
      </c>
      <c r="C135" s="904">
        <v>42832</v>
      </c>
      <c r="D135" s="708" t="s">
        <v>1016</v>
      </c>
      <c r="E135" s="708" t="s">
        <v>1016</v>
      </c>
      <c r="F135" s="708" t="s">
        <v>7</v>
      </c>
      <c r="G135" s="713" t="s">
        <v>17</v>
      </c>
      <c r="H135" s="713" t="s">
        <v>66</v>
      </c>
      <c r="I135" s="714"/>
      <c r="J135" s="819">
        <v>1137</v>
      </c>
      <c r="K135" s="819">
        <v>6253</v>
      </c>
      <c r="L135" s="715"/>
      <c r="M135" s="715">
        <v>1137</v>
      </c>
      <c r="N135" s="716"/>
      <c r="O135" s="716"/>
      <c r="P135" s="716"/>
      <c r="Q135" s="716"/>
      <c r="R135" s="716"/>
      <c r="S135" s="716"/>
      <c r="T135" s="717"/>
      <c r="U135" s="716"/>
      <c r="V135" s="716"/>
      <c r="W135" s="716"/>
      <c r="X135" s="716"/>
      <c r="Y135" s="716"/>
      <c r="Z135" s="716"/>
      <c r="AA135" s="716"/>
      <c r="AB135" s="716"/>
      <c r="AC135" s="716"/>
      <c r="AD135" s="709">
        <f>IF(NFI_Expiration=1,IF($A135&lt;VLOOKUP(I$5,NFI,5,0),1,0)*Data_NFI_t[[#This Row],[Hygiene Kit]],0)</f>
        <v>0</v>
      </c>
      <c r="AE135" s="709">
        <f>IF(NFI_Expiration=1,IF($A135&lt;VLOOKUP(L$5,NFI,5,0),1,0)*Data_NFI_t[[#This Row],[NFI Core Kit]],0)</f>
        <v>0</v>
      </c>
      <c r="AF135" s="710">
        <f>IF(NFI_Expiration=1,IF($A135&lt;VLOOKUP(M$5,NFI,5,0),1,0)*Data_NFI_t[[#This Row],[Sanitary Kit]],0)</f>
        <v>0</v>
      </c>
      <c r="AG135" s="1055">
        <f>IF(NFI_Expiration=1,IF($A135&lt;VLOOKUP(AC$5,NFI,5,0),1,0)*Data_NFI_t[[#This Row],[Rope]],0)</f>
        <v>0</v>
      </c>
      <c r="AH135" s="710">
        <f>IF(NFI_Expiration=1,IF($A135&lt;VLOOKUP(N$5,NFI,5,0),1,0)*Data_NFI_t[[#This Row],[Mosquito net]],0)</f>
        <v>0</v>
      </c>
      <c r="AI135" s="710">
        <f>IF(NFI_Expiration=1,IF($A135&lt;VLOOKUP(O$5,NFI,5,0),1,0)*Data_NFI_t[[#This Row],[Tarpaulin]],0)</f>
        <v>0</v>
      </c>
      <c r="AJ135" s="710">
        <f>IF(NFI_Expiration=1,IF($A135&lt;VLOOKUP(P$5,NFI,5,0),1,0)*Data_NFI_t[[#This Row],[Blanket]],0)</f>
        <v>0</v>
      </c>
      <c r="AK135" s="710">
        <f>IF(NFI_Expiration=1,IF($A135&lt;VLOOKUP(Q$5,NFI,5,0),1,0)*Data_NFI_t[[#This Row],[Kitchen Set]],0)</f>
        <v>0</v>
      </c>
      <c r="AL135" s="710">
        <f>IF(NFI_Expiration=1,IF($A135&lt;VLOOKUP(R$5,NFI,5,0),1,0)*Data_NFI_t[[#This Row],[Complementary Kit]],0)</f>
        <v>0</v>
      </c>
      <c r="AM135" s="710">
        <f>IF(NFI_Expiration=1,IF($A135&lt;VLOOKUP(S$5,NFI,5,0),1,0)*Data_NFI_t[[#This Row],[Plastic Bucket]],0)</f>
        <v>0</v>
      </c>
      <c r="AN135" s="709">
        <f>IF(NFI_Expiration=1,IF($A135&lt;VLOOKUP(T$5,NFI,5,0),1,0)*Data_NFI_t[[#This Row],[Jerry Can]],0)</f>
        <v>0</v>
      </c>
      <c r="AO135" s="709">
        <f>IF(NFI_Expiration=1,IF($A135&lt;VLOOKUP(U$5,NFI,5,0),1,0)*Data_NFI_t[[#This Row],[Plastic Mat]],0)</f>
        <v>0</v>
      </c>
      <c r="AP135" s="709">
        <f>IF(NFI_Expiration=1,IF($A135&lt;VLOOKUP(V$5,NFI,5,0),1,0)*Data_NFI_t[[#This Row],[Adult Clothes]],0)</f>
        <v>0</v>
      </c>
      <c r="AQ135" s="709">
        <f>IF(NFI_Expiration=1,IF($A135&lt;VLOOKUP(W$5,NFI,5,0),1,0)*Data_NFI_t[[#This Row],[Children Clothes]],0)</f>
        <v>0</v>
      </c>
      <c r="AR135" s="709">
        <f>IF(NFI_Expiration=1,IF($A135&lt;VLOOKUP(X$5,NFI,5,0),1,0)*Data_NFI_t[[#This Row],[Sewing Kit]],0)</f>
        <v>0</v>
      </c>
      <c r="AS135" s="709">
        <f>IF(NFI_Expiration=1,IF($A135&lt;VLOOKUP(X$5,NFI,5,0),1,0)*Data_NFI_t[[#This Row],[Solar Lantern]],0)</f>
        <v>0</v>
      </c>
      <c r="AT135" s="105" t="str">
        <f ca="1">IFERROR(OFFSET(Camp_List[P_Code],MATCH(Data_NFI_t[[#This Row],[Camp Name]],Camp_List[Camp Name],0)-1,0,1,1),"")</f>
        <v>MMR012CMP046</v>
      </c>
      <c r="AU135" s="412" t="str">
        <f ca="1">IFERROR(OFFSET(Camp_List[Status],MATCH(Data_NFI_t[[#This Row],[Camp Name]],Camp_List[Camp Name],0)-1,0,1,1),"")</f>
        <v>Open</v>
      </c>
      <c r="AV135" s="105"/>
      <c r="AY135" s="747"/>
    </row>
    <row r="136" spans="1:51" s="745" customFormat="1" ht="16.5" customHeight="1" x14ac:dyDescent="0.25">
      <c r="A136" s="711">
        <f t="shared" si="4"/>
        <v>20.100000000000001</v>
      </c>
      <c r="B136" s="712">
        <f>YEAR(Data_NFI_t[[#This Row],[Distribution Date]])</f>
        <v>2017</v>
      </c>
      <c r="C136" s="904">
        <v>42831</v>
      </c>
      <c r="D136" s="708" t="s">
        <v>1016</v>
      </c>
      <c r="E136" s="708" t="s">
        <v>1016</v>
      </c>
      <c r="F136" s="708" t="s">
        <v>7</v>
      </c>
      <c r="G136" s="713" t="s">
        <v>17</v>
      </c>
      <c r="H136" s="713" t="s">
        <v>62</v>
      </c>
      <c r="I136" s="714"/>
      <c r="J136" s="819">
        <v>400</v>
      </c>
      <c r="K136" s="819">
        <v>2200</v>
      </c>
      <c r="L136" s="715"/>
      <c r="M136" s="715">
        <v>400</v>
      </c>
      <c r="N136" s="716"/>
      <c r="O136" s="716"/>
      <c r="P136" s="716"/>
      <c r="Q136" s="716"/>
      <c r="R136" s="716"/>
      <c r="S136" s="716"/>
      <c r="T136" s="717"/>
      <c r="U136" s="716"/>
      <c r="V136" s="716"/>
      <c r="W136" s="716"/>
      <c r="X136" s="716"/>
      <c r="Y136" s="716"/>
      <c r="Z136" s="716"/>
      <c r="AA136" s="716"/>
      <c r="AB136" s="716"/>
      <c r="AC136" s="716"/>
      <c r="AD136" s="709">
        <f>IF(NFI_Expiration=1,IF($A136&lt;VLOOKUP(I$5,NFI,5,0),1,0)*Data_NFI_t[[#This Row],[Hygiene Kit]],0)</f>
        <v>0</v>
      </c>
      <c r="AE136" s="709">
        <f>IF(NFI_Expiration=1,IF($A136&lt;VLOOKUP(L$5,NFI,5,0),1,0)*Data_NFI_t[[#This Row],[NFI Core Kit]],0)</f>
        <v>0</v>
      </c>
      <c r="AF136" s="710">
        <f>IF(NFI_Expiration=1,IF($A136&lt;VLOOKUP(M$5,NFI,5,0),1,0)*Data_NFI_t[[#This Row],[Sanitary Kit]],0)</f>
        <v>0</v>
      </c>
      <c r="AG136" s="1055">
        <f>IF(NFI_Expiration=1,IF($A136&lt;VLOOKUP(AC$5,NFI,5,0),1,0)*Data_NFI_t[[#This Row],[Rope]],0)</f>
        <v>0</v>
      </c>
      <c r="AH136" s="710">
        <f>IF(NFI_Expiration=1,IF($A136&lt;VLOOKUP(N$5,NFI,5,0),1,0)*Data_NFI_t[[#This Row],[Mosquito net]],0)</f>
        <v>0</v>
      </c>
      <c r="AI136" s="710">
        <f>IF(NFI_Expiration=1,IF($A136&lt;VLOOKUP(O$5,NFI,5,0),1,0)*Data_NFI_t[[#This Row],[Tarpaulin]],0)</f>
        <v>0</v>
      </c>
      <c r="AJ136" s="710">
        <f>IF(NFI_Expiration=1,IF($A136&lt;VLOOKUP(P$5,NFI,5,0),1,0)*Data_NFI_t[[#This Row],[Blanket]],0)</f>
        <v>0</v>
      </c>
      <c r="AK136" s="710">
        <f>IF(NFI_Expiration=1,IF($A136&lt;VLOOKUP(Q$5,NFI,5,0),1,0)*Data_NFI_t[[#This Row],[Kitchen Set]],0)</f>
        <v>0</v>
      </c>
      <c r="AL136" s="710">
        <f>IF(NFI_Expiration=1,IF($A136&lt;VLOOKUP(R$5,NFI,5,0),1,0)*Data_NFI_t[[#This Row],[Complementary Kit]],0)</f>
        <v>0</v>
      </c>
      <c r="AM136" s="710">
        <f>IF(NFI_Expiration=1,IF($A136&lt;VLOOKUP(S$5,NFI,5,0),1,0)*Data_NFI_t[[#This Row],[Plastic Bucket]],0)</f>
        <v>0</v>
      </c>
      <c r="AN136" s="709">
        <f>IF(NFI_Expiration=1,IF($A136&lt;VLOOKUP(T$5,NFI,5,0),1,0)*Data_NFI_t[[#This Row],[Jerry Can]],0)</f>
        <v>0</v>
      </c>
      <c r="AO136" s="709">
        <f>IF(NFI_Expiration=1,IF($A136&lt;VLOOKUP(U$5,NFI,5,0),1,0)*Data_NFI_t[[#This Row],[Plastic Mat]],0)</f>
        <v>0</v>
      </c>
      <c r="AP136" s="709">
        <f>IF(NFI_Expiration=1,IF($A136&lt;VLOOKUP(V$5,NFI,5,0),1,0)*Data_NFI_t[[#This Row],[Adult Clothes]],0)</f>
        <v>0</v>
      </c>
      <c r="AQ136" s="709">
        <f>IF(NFI_Expiration=1,IF($A136&lt;VLOOKUP(W$5,NFI,5,0),1,0)*Data_NFI_t[[#This Row],[Children Clothes]],0)</f>
        <v>0</v>
      </c>
      <c r="AR136" s="709">
        <f>IF(NFI_Expiration=1,IF($A136&lt;VLOOKUP(X$5,NFI,5,0),1,0)*Data_NFI_t[[#This Row],[Sewing Kit]],0)</f>
        <v>0</v>
      </c>
      <c r="AS136" s="709">
        <f>IF(NFI_Expiration=1,IF($A136&lt;VLOOKUP(X$5,NFI,5,0),1,0)*Data_NFI_t[[#This Row],[Solar Lantern]],0)</f>
        <v>0</v>
      </c>
      <c r="AT136" s="105" t="str">
        <f ca="1">IFERROR(OFFSET(Camp_List[P_Code],MATCH(Data_NFI_t[[#This Row],[Camp Name]],Camp_List[Camp Name],0)-1,0,1,1),"")</f>
        <v/>
      </c>
      <c r="AU136" s="412" t="str">
        <f ca="1">IFERROR(OFFSET(Camp_List[Status],MATCH(Data_NFI_t[[#This Row],[Camp Name]],Camp_List[Camp Name],0)-1,0,1,1),"")</f>
        <v/>
      </c>
      <c r="AV136" s="105"/>
      <c r="AY136" s="747"/>
    </row>
    <row r="137" spans="1:51" s="745" customFormat="1" ht="16.5" customHeight="1" x14ac:dyDescent="0.25">
      <c r="A137" s="711">
        <f t="shared" si="4"/>
        <v>20.133333333333333</v>
      </c>
      <c r="B137" s="712">
        <f>YEAR(Data_NFI_t[[#This Row],[Distribution Date]])</f>
        <v>2017</v>
      </c>
      <c r="C137" s="904">
        <v>42830</v>
      </c>
      <c r="D137" s="708" t="s">
        <v>1016</v>
      </c>
      <c r="E137" s="708" t="s">
        <v>1016</v>
      </c>
      <c r="F137" s="708" t="s">
        <v>7</v>
      </c>
      <c r="G137" s="713" t="s">
        <v>17</v>
      </c>
      <c r="H137" s="713" t="s">
        <v>61</v>
      </c>
      <c r="I137" s="714"/>
      <c r="J137" s="819">
        <v>2007</v>
      </c>
      <c r="K137" s="819">
        <v>11038</v>
      </c>
      <c r="L137" s="715"/>
      <c r="M137" s="715">
        <v>2007</v>
      </c>
      <c r="N137" s="716"/>
      <c r="O137" s="716"/>
      <c r="P137" s="716"/>
      <c r="Q137" s="716"/>
      <c r="R137" s="716"/>
      <c r="S137" s="716"/>
      <c r="T137" s="717"/>
      <c r="U137" s="716"/>
      <c r="V137" s="716"/>
      <c r="W137" s="716"/>
      <c r="X137" s="716"/>
      <c r="Y137" s="716"/>
      <c r="Z137" s="716"/>
      <c r="AA137" s="716"/>
      <c r="AB137" s="716"/>
      <c r="AC137" s="716"/>
      <c r="AD137" s="709">
        <f>IF(NFI_Expiration=1,IF($A137&lt;VLOOKUP(I$5,NFI,5,0),1,0)*Data_NFI_t[[#This Row],[Hygiene Kit]],0)</f>
        <v>0</v>
      </c>
      <c r="AE137" s="709">
        <f>IF(NFI_Expiration=1,IF($A137&lt;VLOOKUP(L$5,NFI,5,0),1,0)*Data_NFI_t[[#This Row],[NFI Core Kit]],0)</f>
        <v>0</v>
      </c>
      <c r="AF137" s="710">
        <f>IF(NFI_Expiration=1,IF($A137&lt;VLOOKUP(M$5,NFI,5,0),1,0)*Data_NFI_t[[#This Row],[Sanitary Kit]],0)</f>
        <v>0</v>
      </c>
      <c r="AG137" s="1055">
        <f>IF(NFI_Expiration=1,IF($A137&lt;VLOOKUP(AC$5,NFI,5,0),1,0)*Data_NFI_t[[#This Row],[Rope]],0)</f>
        <v>0</v>
      </c>
      <c r="AH137" s="710">
        <f>IF(NFI_Expiration=1,IF($A137&lt;VLOOKUP(N$5,NFI,5,0),1,0)*Data_NFI_t[[#This Row],[Mosquito net]],0)</f>
        <v>0</v>
      </c>
      <c r="AI137" s="710">
        <f>IF(NFI_Expiration=1,IF($A137&lt;VLOOKUP(O$5,NFI,5,0),1,0)*Data_NFI_t[[#This Row],[Tarpaulin]],0)</f>
        <v>0</v>
      </c>
      <c r="AJ137" s="710">
        <f>IF(NFI_Expiration=1,IF($A137&lt;VLOOKUP(P$5,NFI,5,0),1,0)*Data_NFI_t[[#This Row],[Blanket]],0)</f>
        <v>0</v>
      </c>
      <c r="AK137" s="710">
        <f>IF(NFI_Expiration=1,IF($A137&lt;VLOOKUP(Q$5,NFI,5,0),1,0)*Data_NFI_t[[#This Row],[Kitchen Set]],0)</f>
        <v>0</v>
      </c>
      <c r="AL137" s="710">
        <f>IF(NFI_Expiration=1,IF($A137&lt;VLOOKUP(R$5,NFI,5,0),1,0)*Data_NFI_t[[#This Row],[Complementary Kit]],0)</f>
        <v>0</v>
      </c>
      <c r="AM137" s="710">
        <f>IF(NFI_Expiration=1,IF($A137&lt;VLOOKUP(S$5,NFI,5,0),1,0)*Data_NFI_t[[#This Row],[Plastic Bucket]],0)</f>
        <v>0</v>
      </c>
      <c r="AN137" s="709">
        <f>IF(NFI_Expiration=1,IF($A137&lt;VLOOKUP(T$5,NFI,5,0),1,0)*Data_NFI_t[[#This Row],[Jerry Can]],0)</f>
        <v>0</v>
      </c>
      <c r="AO137" s="709">
        <f>IF(NFI_Expiration=1,IF($A137&lt;VLOOKUP(U$5,NFI,5,0),1,0)*Data_NFI_t[[#This Row],[Plastic Mat]],0)</f>
        <v>0</v>
      </c>
      <c r="AP137" s="709">
        <f>IF(NFI_Expiration=1,IF($A137&lt;VLOOKUP(V$5,NFI,5,0),1,0)*Data_NFI_t[[#This Row],[Adult Clothes]],0)</f>
        <v>0</v>
      </c>
      <c r="AQ137" s="709">
        <f>IF(NFI_Expiration=1,IF($A137&lt;VLOOKUP(W$5,NFI,5,0),1,0)*Data_NFI_t[[#This Row],[Children Clothes]],0)</f>
        <v>0</v>
      </c>
      <c r="AR137" s="709">
        <f>IF(NFI_Expiration=1,IF($A137&lt;VLOOKUP(X$5,NFI,5,0),1,0)*Data_NFI_t[[#This Row],[Sewing Kit]],0)</f>
        <v>0</v>
      </c>
      <c r="AS137" s="709">
        <f>IF(NFI_Expiration=1,IF($A137&lt;VLOOKUP(X$5,NFI,5,0),1,0)*Data_NFI_t[[#This Row],[Solar Lantern]],0)</f>
        <v>0</v>
      </c>
      <c r="AT137" s="105" t="str">
        <f ca="1">IFERROR(OFFSET(Camp_List[P_Code],MATCH(Data_NFI_t[[#This Row],[Camp Name]],Camp_List[Camp Name],0)-1,0,1,1),"")</f>
        <v>MMR012CMP041</v>
      </c>
      <c r="AU137" s="412" t="str">
        <f ca="1">IFERROR(OFFSET(Camp_List[Status],MATCH(Data_NFI_t[[#This Row],[Camp Name]],Camp_List[Camp Name],0)-1,0,1,1),"")</f>
        <v>Open</v>
      </c>
      <c r="AV137" s="105"/>
      <c r="AY137" s="747"/>
    </row>
    <row r="138" spans="1:51" s="745" customFormat="1" ht="16.5" customHeight="1" x14ac:dyDescent="0.25">
      <c r="A138" s="711">
        <f t="shared" si="4"/>
        <v>20.166666666666668</v>
      </c>
      <c r="B138" s="712">
        <f>YEAR(Data_NFI_t[[#This Row],[Distribution Date]])</f>
        <v>2017</v>
      </c>
      <c r="C138" s="904">
        <v>42829</v>
      </c>
      <c r="D138" s="708" t="s">
        <v>1016</v>
      </c>
      <c r="E138" s="708" t="s">
        <v>1016</v>
      </c>
      <c r="F138" s="708" t="s">
        <v>7</v>
      </c>
      <c r="G138" s="713" t="s">
        <v>17</v>
      </c>
      <c r="H138" s="713" t="s">
        <v>582</v>
      </c>
      <c r="I138" s="714"/>
      <c r="J138" s="819">
        <v>1236</v>
      </c>
      <c r="K138" s="819">
        <v>6798</v>
      </c>
      <c r="L138" s="715"/>
      <c r="M138" s="715">
        <v>1236</v>
      </c>
      <c r="N138" s="716"/>
      <c r="O138" s="716"/>
      <c r="P138" s="716"/>
      <c r="Q138" s="716"/>
      <c r="R138" s="716"/>
      <c r="S138" s="716"/>
      <c r="T138" s="717"/>
      <c r="U138" s="716"/>
      <c r="V138" s="716"/>
      <c r="W138" s="716"/>
      <c r="X138" s="716"/>
      <c r="Y138" s="716"/>
      <c r="Z138" s="716"/>
      <c r="AA138" s="716"/>
      <c r="AB138" s="716"/>
      <c r="AC138" s="716"/>
      <c r="AD138" s="709">
        <f>IF(NFI_Expiration=1,IF($A138&lt;VLOOKUP(I$5,NFI,5,0),1,0)*Data_NFI_t[[#This Row],[Hygiene Kit]],0)</f>
        <v>0</v>
      </c>
      <c r="AE138" s="709">
        <f>IF(NFI_Expiration=1,IF($A138&lt;VLOOKUP(L$5,NFI,5,0),1,0)*Data_NFI_t[[#This Row],[NFI Core Kit]],0)</f>
        <v>0</v>
      </c>
      <c r="AF138" s="710">
        <f>IF(NFI_Expiration=1,IF($A138&lt;VLOOKUP(M$5,NFI,5,0),1,0)*Data_NFI_t[[#This Row],[Sanitary Kit]],0)</f>
        <v>0</v>
      </c>
      <c r="AG138" s="1055">
        <f>IF(NFI_Expiration=1,IF($A138&lt;VLOOKUP(AC$5,NFI,5,0),1,0)*Data_NFI_t[[#This Row],[Rope]],0)</f>
        <v>0</v>
      </c>
      <c r="AH138" s="710">
        <f>IF(NFI_Expiration=1,IF($A138&lt;VLOOKUP(N$5,NFI,5,0),1,0)*Data_NFI_t[[#This Row],[Mosquito net]],0)</f>
        <v>0</v>
      </c>
      <c r="AI138" s="710">
        <f>IF(NFI_Expiration=1,IF($A138&lt;VLOOKUP(O$5,NFI,5,0),1,0)*Data_NFI_t[[#This Row],[Tarpaulin]],0)</f>
        <v>0</v>
      </c>
      <c r="AJ138" s="710">
        <f>IF(NFI_Expiration=1,IF($A138&lt;VLOOKUP(P$5,NFI,5,0),1,0)*Data_NFI_t[[#This Row],[Blanket]],0)</f>
        <v>0</v>
      </c>
      <c r="AK138" s="710">
        <f>IF(NFI_Expiration=1,IF($A138&lt;VLOOKUP(Q$5,NFI,5,0),1,0)*Data_NFI_t[[#This Row],[Kitchen Set]],0)</f>
        <v>0</v>
      </c>
      <c r="AL138" s="710">
        <f>IF(NFI_Expiration=1,IF($A138&lt;VLOOKUP(R$5,NFI,5,0),1,0)*Data_NFI_t[[#This Row],[Complementary Kit]],0)</f>
        <v>0</v>
      </c>
      <c r="AM138" s="710">
        <f>IF(NFI_Expiration=1,IF($A138&lt;VLOOKUP(S$5,NFI,5,0),1,0)*Data_NFI_t[[#This Row],[Plastic Bucket]],0)</f>
        <v>0</v>
      </c>
      <c r="AN138" s="709">
        <f>IF(NFI_Expiration=1,IF($A138&lt;VLOOKUP(T$5,NFI,5,0),1,0)*Data_NFI_t[[#This Row],[Jerry Can]],0)</f>
        <v>0</v>
      </c>
      <c r="AO138" s="709">
        <f>IF(NFI_Expiration=1,IF($A138&lt;VLOOKUP(U$5,NFI,5,0),1,0)*Data_NFI_t[[#This Row],[Plastic Mat]],0)</f>
        <v>0</v>
      </c>
      <c r="AP138" s="709">
        <f>IF(NFI_Expiration=1,IF($A138&lt;VLOOKUP(V$5,NFI,5,0),1,0)*Data_NFI_t[[#This Row],[Adult Clothes]],0)</f>
        <v>0</v>
      </c>
      <c r="AQ138" s="709">
        <f>IF(NFI_Expiration=1,IF($A138&lt;VLOOKUP(W$5,NFI,5,0),1,0)*Data_NFI_t[[#This Row],[Children Clothes]],0)</f>
        <v>0</v>
      </c>
      <c r="AR138" s="709">
        <f>IF(NFI_Expiration=1,IF($A138&lt;VLOOKUP(X$5,NFI,5,0),1,0)*Data_NFI_t[[#This Row],[Sewing Kit]],0)</f>
        <v>0</v>
      </c>
      <c r="AS138" s="709">
        <f>IF(NFI_Expiration=1,IF($A138&lt;VLOOKUP(X$5,NFI,5,0),1,0)*Data_NFI_t[[#This Row],[Solar Lantern]],0)</f>
        <v>0</v>
      </c>
      <c r="AT138" s="105" t="str">
        <f ca="1">IFERROR(OFFSET(Camp_List[P_Code],MATCH(Data_NFI_t[[#This Row],[Camp Name]],Camp_List[Camp Name],0)-1,0,1,1),"")</f>
        <v>MMR012CMP114</v>
      </c>
      <c r="AU138" s="412" t="str">
        <f ca="1">IFERROR(OFFSET(Camp_List[Status],MATCH(Data_NFI_t[[#This Row],[Camp Name]],Camp_List[Camp Name],0)-1,0,1,1),"")</f>
        <v>Open</v>
      </c>
      <c r="AV138" s="105"/>
      <c r="AY138" s="747"/>
    </row>
    <row r="139" spans="1:51" s="745" customFormat="1" ht="16.5" customHeight="1" x14ac:dyDescent="0.25">
      <c r="A139" s="711">
        <f t="shared" si="4"/>
        <v>20.2</v>
      </c>
      <c r="B139" s="712">
        <f>YEAR(Data_NFI_t[[#This Row],[Distribution Date]])</f>
        <v>2017</v>
      </c>
      <c r="C139" s="904">
        <v>42828</v>
      </c>
      <c r="D139" s="708" t="s">
        <v>1016</v>
      </c>
      <c r="E139" s="708" t="s">
        <v>1016</v>
      </c>
      <c r="F139" s="708" t="s">
        <v>7</v>
      </c>
      <c r="G139" s="713" t="s">
        <v>17</v>
      </c>
      <c r="H139" s="713" t="s">
        <v>581</v>
      </c>
      <c r="I139" s="714"/>
      <c r="J139" s="819">
        <v>1127</v>
      </c>
      <c r="K139" s="819">
        <v>6198</v>
      </c>
      <c r="L139" s="715"/>
      <c r="M139" s="715">
        <v>1127</v>
      </c>
      <c r="N139" s="716"/>
      <c r="O139" s="716"/>
      <c r="P139" s="716"/>
      <c r="Q139" s="716"/>
      <c r="R139" s="716"/>
      <c r="S139" s="716"/>
      <c r="T139" s="717"/>
      <c r="U139" s="716"/>
      <c r="V139" s="716"/>
      <c r="W139" s="716"/>
      <c r="X139" s="716"/>
      <c r="Y139" s="716"/>
      <c r="Z139" s="716"/>
      <c r="AA139" s="716"/>
      <c r="AB139" s="716"/>
      <c r="AC139" s="716"/>
      <c r="AD139" s="709">
        <f>IF(NFI_Expiration=1,IF($A139&lt;VLOOKUP(I$5,NFI,5,0),1,0)*Data_NFI_t[[#This Row],[Hygiene Kit]],0)</f>
        <v>0</v>
      </c>
      <c r="AE139" s="709">
        <f>IF(NFI_Expiration=1,IF($A139&lt;VLOOKUP(L$5,NFI,5,0),1,0)*Data_NFI_t[[#This Row],[NFI Core Kit]],0)</f>
        <v>0</v>
      </c>
      <c r="AF139" s="710">
        <f>IF(NFI_Expiration=1,IF($A139&lt;VLOOKUP(M$5,NFI,5,0),1,0)*Data_NFI_t[[#This Row],[Sanitary Kit]],0)</f>
        <v>0</v>
      </c>
      <c r="AG139" s="1055">
        <f>IF(NFI_Expiration=1,IF($A139&lt;VLOOKUP(AC$5,NFI,5,0),1,0)*Data_NFI_t[[#This Row],[Rope]],0)</f>
        <v>0</v>
      </c>
      <c r="AH139" s="710">
        <f>IF(NFI_Expiration=1,IF($A139&lt;VLOOKUP(N$5,NFI,5,0),1,0)*Data_NFI_t[[#This Row],[Mosquito net]],0)</f>
        <v>0</v>
      </c>
      <c r="AI139" s="710">
        <f>IF(NFI_Expiration=1,IF($A139&lt;VLOOKUP(O$5,NFI,5,0),1,0)*Data_NFI_t[[#This Row],[Tarpaulin]],0)</f>
        <v>0</v>
      </c>
      <c r="AJ139" s="710">
        <f>IF(NFI_Expiration=1,IF($A139&lt;VLOOKUP(P$5,NFI,5,0),1,0)*Data_NFI_t[[#This Row],[Blanket]],0)</f>
        <v>0</v>
      </c>
      <c r="AK139" s="710">
        <f>IF(NFI_Expiration=1,IF($A139&lt;VLOOKUP(Q$5,NFI,5,0),1,0)*Data_NFI_t[[#This Row],[Kitchen Set]],0)</f>
        <v>0</v>
      </c>
      <c r="AL139" s="710">
        <f>IF(NFI_Expiration=1,IF($A139&lt;VLOOKUP(R$5,NFI,5,0),1,0)*Data_NFI_t[[#This Row],[Complementary Kit]],0)</f>
        <v>0</v>
      </c>
      <c r="AM139" s="710">
        <f>IF(NFI_Expiration=1,IF($A139&lt;VLOOKUP(S$5,NFI,5,0),1,0)*Data_NFI_t[[#This Row],[Plastic Bucket]],0)</f>
        <v>0</v>
      </c>
      <c r="AN139" s="709">
        <f>IF(NFI_Expiration=1,IF($A139&lt;VLOOKUP(T$5,NFI,5,0),1,0)*Data_NFI_t[[#This Row],[Jerry Can]],0)</f>
        <v>0</v>
      </c>
      <c r="AO139" s="709">
        <f>IF(NFI_Expiration=1,IF($A139&lt;VLOOKUP(U$5,NFI,5,0),1,0)*Data_NFI_t[[#This Row],[Plastic Mat]],0)</f>
        <v>0</v>
      </c>
      <c r="AP139" s="709">
        <f>IF(NFI_Expiration=1,IF($A139&lt;VLOOKUP(V$5,NFI,5,0),1,0)*Data_NFI_t[[#This Row],[Adult Clothes]],0)</f>
        <v>0</v>
      </c>
      <c r="AQ139" s="709">
        <f>IF(NFI_Expiration=1,IF($A139&lt;VLOOKUP(W$5,NFI,5,0),1,0)*Data_NFI_t[[#This Row],[Children Clothes]],0)</f>
        <v>0</v>
      </c>
      <c r="AR139" s="709">
        <f>IF(NFI_Expiration=1,IF($A139&lt;VLOOKUP(X$5,NFI,5,0),1,0)*Data_NFI_t[[#This Row],[Sewing Kit]],0)</f>
        <v>0</v>
      </c>
      <c r="AS139" s="709">
        <f>IF(NFI_Expiration=1,IF($A139&lt;VLOOKUP(X$5,NFI,5,0),1,0)*Data_NFI_t[[#This Row],[Solar Lantern]],0)</f>
        <v>0</v>
      </c>
      <c r="AT139" s="105" t="str">
        <f ca="1">IFERROR(OFFSET(Camp_List[P_Code],MATCH(Data_NFI_t[[#This Row],[Camp Name]],Camp_List[Camp Name],0)-1,0,1,1),"")</f>
        <v>MMR012CMP113</v>
      </c>
      <c r="AU139" s="412" t="str">
        <f ca="1">IFERROR(OFFSET(Camp_List[Status],MATCH(Data_NFI_t[[#This Row],[Camp Name]],Camp_List[Camp Name],0)-1,0,1,1),"")</f>
        <v>Open</v>
      </c>
      <c r="AV139" s="105"/>
      <c r="AY139" s="747"/>
    </row>
    <row r="140" spans="1:51" s="43" customFormat="1" ht="16.5" customHeight="1" x14ac:dyDescent="0.25">
      <c r="A140" s="711">
        <f t="shared" si="4"/>
        <v>20.399999999999999</v>
      </c>
      <c r="B140" s="712">
        <f>YEAR(Data_NFI_t[[#This Row],[Distribution Date]])</f>
        <v>2017</v>
      </c>
      <c r="C140" s="904">
        <v>42822</v>
      </c>
      <c r="D140" s="708" t="s">
        <v>574</v>
      </c>
      <c r="E140" s="708" t="s">
        <v>574</v>
      </c>
      <c r="F140" s="708" t="s">
        <v>7</v>
      </c>
      <c r="G140" s="713" t="s">
        <v>17</v>
      </c>
      <c r="H140" s="713" t="s">
        <v>587</v>
      </c>
      <c r="I140" s="714"/>
      <c r="J140" s="819">
        <v>725</v>
      </c>
      <c r="K140" s="819">
        <v>3987</v>
      </c>
      <c r="L140" s="715"/>
      <c r="M140" s="715"/>
      <c r="N140" s="716">
        <v>1450</v>
      </c>
      <c r="O140" s="716"/>
      <c r="P140" s="716">
        <v>1450</v>
      </c>
      <c r="Q140" s="716"/>
      <c r="R140" s="716"/>
      <c r="S140" s="716">
        <v>1450</v>
      </c>
      <c r="T140" s="717">
        <v>2900</v>
      </c>
      <c r="U140" s="716"/>
      <c r="V140" s="716">
        <v>2175</v>
      </c>
      <c r="W140" s="716">
        <v>725</v>
      </c>
      <c r="X140" s="716"/>
      <c r="Y140" s="716"/>
      <c r="Z140" s="716"/>
      <c r="AA140" s="716"/>
      <c r="AB140" s="716"/>
      <c r="AC140" s="716"/>
      <c r="AD140" s="709">
        <f>IF(NFI_Expiration=1,IF($A140&lt;VLOOKUP(I$5,NFI,5,0),1,0)*Data_NFI_t[[#This Row],[Hygiene Kit]],0)</f>
        <v>0</v>
      </c>
      <c r="AE140" s="709">
        <f>IF(NFI_Expiration=1,IF($A140&lt;VLOOKUP(L$5,NFI,5,0),1,0)*Data_NFI_t[[#This Row],[NFI Core Kit]],0)</f>
        <v>0</v>
      </c>
      <c r="AF140" s="710">
        <f>IF(NFI_Expiration=1,IF($A140&lt;VLOOKUP(M$5,NFI,5,0),1,0)*Data_NFI_t[[#This Row],[Sanitary Kit]],0)</f>
        <v>0</v>
      </c>
      <c r="AG140" s="1055">
        <f>IF(NFI_Expiration=1,IF($A140&lt;VLOOKUP(AC$5,NFI,5,0),1,0)*Data_NFI_t[[#This Row],[Rope]],0)</f>
        <v>0</v>
      </c>
      <c r="AH140" s="710">
        <f>IF(NFI_Expiration=1,IF($A140&lt;VLOOKUP(N$5,NFI,5,0),1,0)*Data_NFI_t[[#This Row],[Mosquito net]],0)</f>
        <v>0</v>
      </c>
      <c r="AI140" s="710">
        <f>IF(NFI_Expiration=1,IF($A140&lt;VLOOKUP(O$5,NFI,5,0),1,0)*Data_NFI_t[[#This Row],[Tarpaulin]],0)</f>
        <v>0</v>
      </c>
      <c r="AJ140" s="710">
        <f>IF(NFI_Expiration=1,IF($A140&lt;VLOOKUP(P$5,NFI,5,0),1,0)*Data_NFI_t[[#This Row],[Blanket]],0)</f>
        <v>0</v>
      </c>
      <c r="AK140" s="710">
        <f>IF(NFI_Expiration=1,IF($A140&lt;VLOOKUP(Q$5,NFI,5,0),1,0)*Data_NFI_t[[#This Row],[Kitchen Set]],0)</f>
        <v>0</v>
      </c>
      <c r="AL140" s="710">
        <f>IF(NFI_Expiration=1,IF($A140&lt;VLOOKUP(R$5,NFI,5,0),1,0)*Data_NFI_t[[#This Row],[Complementary Kit]],0)</f>
        <v>0</v>
      </c>
      <c r="AM140" s="710">
        <f>IF(NFI_Expiration=1,IF($A140&lt;VLOOKUP(S$5,NFI,5,0),1,0)*Data_NFI_t[[#This Row],[Plastic Bucket]],0)</f>
        <v>0</v>
      </c>
      <c r="AN140" s="709">
        <f>IF(NFI_Expiration=1,IF($A140&lt;VLOOKUP(T$5,NFI,5,0),1,0)*Data_NFI_t[[#This Row],[Jerry Can]],0)</f>
        <v>0</v>
      </c>
      <c r="AO140" s="709">
        <f>IF(NFI_Expiration=1,IF($A140&lt;VLOOKUP(U$5,NFI,5,0),1,0)*Data_NFI_t[[#This Row],[Plastic Mat]],0)</f>
        <v>0</v>
      </c>
      <c r="AP140" s="709">
        <f>IF(NFI_Expiration=1,IF($A140&lt;VLOOKUP(V$5,NFI,5,0),1,0)*Data_NFI_t[[#This Row],[Adult Clothes]],0)</f>
        <v>0</v>
      </c>
      <c r="AQ140" s="709">
        <f>IF(NFI_Expiration=1,IF($A140&lt;VLOOKUP(W$5,NFI,5,0),1,0)*Data_NFI_t[[#This Row],[Children Clothes]],0)</f>
        <v>0</v>
      </c>
      <c r="AR140" s="709">
        <f>IF(NFI_Expiration=1,IF($A140&lt;VLOOKUP(X$5,NFI,5,0),1,0)*Data_NFI_t[[#This Row],[Sewing Kit]],0)</f>
        <v>0</v>
      </c>
      <c r="AS140" s="709">
        <f>IF(NFI_Expiration=1,IF($A140&lt;VLOOKUP(X$5,NFI,5,0),1,0)*Data_NFI_t[[#This Row],[Solar Lantern]],0)</f>
        <v>0</v>
      </c>
      <c r="AT140" s="105" t="str">
        <f ca="1">IFERROR(OFFSET(Camp_List[P_Code],MATCH(Data_NFI_t[[#This Row],[Camp Name]],Camp_List[Camp Name],0)-1,0,1,1),"")</f>
        <v>MMR012CMP116</v>
      </c>
      <c r="AU140" s="412" t="str">
        <f ca="1">IFERROR(OFFSET(Camp_List[Status],MATCH(Data_NFI_t[[#This Row],[Camp Name]],Camp_List[Camp Name],0)-1,0,1,1),"")</f>
        <v>Open</v>
      </c>
      <c r="AV140" s="105"/>
      <c r="AW140" s="745"/>
      <c r="AX140" s="745"/>
      <c r="AY140" s="648"/>
    </row>
    <row r="141" spans="1:51" s="43" customFormat="1" ht="25.5" customHeight="1" x14ac:dyDescent="0.25">
      <c r="A141" s="711">
        <f t="shared" si="4"/>
        <v>20.733333333333334</v>
      </c>
      <c r="B141" s="712">
        <f>YEAR(Data_NFI_t[[#This Row],[Distribution Date]])</f>
        <v>2017</v>
      </c>
      <c r="C141" s="904">
        <v>42812</v>
      </c>
      <c r="D141" s="708" t="s">
        <v>658</v>
      </c>
      <c r="E141" s="708" t="s">
        <v>658</v>
      </c>
      <c r="F141" s="708" t="s">
        <v>7</v>
      </c>
      <c r="G141" s="713" t="s">
        <v>814</v>
      </c>
      <c r="H141" s="713" t="s">
        <v>36</v>
      </c>
      <c r="I141" s="714"/>
      <c r="J141" s="819">
        <v>622</v>
      </c>
      <c r="K141" s="819">
        <v>1771</v>
      </c>
      <c r="L141" s="715"/>
      <c r="M141" s="715">
        <v>622</v>
      </c>
      <c r="N141" s="716"/>
      <c r="O141" s="716"/>
      <c r="P141" s="716"/>
      <c r="Q141" s="716"/>
      <c r="R141" s="716"/>
      <c r="S141" s="716"/>
      <c r="T141" s="717"/>
      <c r="U141" s="716"/>
      <c r="V141" s="716"/>
      <c r="W141" s="716"/>
      <c r="X141" s="716"/>
      <c r="Y141" s="716"/>
      <c r="Z141" s="716"/>
      <c r="AA141" s="716"/>
      <c r="AB141" s="716"/>
      <c r="AC141" s="716"/>
      <c r="AD141" s="709">
        <f>IF(NFI_Expiration=1,IF($A141&lt;VLOOKUP(I$5,NFI,5,0),1,0)*Data_NFI_t[[#This Row],[Hygiene Kit]],0)</f>
        <v>0</v>
      </c>
      <c r="AE141" s="709">
        <f>IF(NFI_Expiration=1,IF($A141&lt;VLOOKUP(L$5,NFI,5,0),1,0)*Data_NFI_t[[#This Row],[NFI Core Kit]],0)</f>
        <v>0</v>
      </c>
      <c r="AF141" s="710">
        <f>IF(NFI_Expiration=1,IF($A141&lt;VLOOKUP(M$5,NFI,5,0),1,0)*Data_NFI_t[[#This Row],[Sanitary Kit]],0)</f>
        <v>0</v>
      </c>
      <c r="AG141" s="1055">
        <f>IF(NFI_Expiration=1,IF($A141&lt;VLOOKUP(AC$5,NFI,5,0),1,0)*Data_NFI_t[[#This Row],[Rope]],0)</f>
        <v>0</v>
      </c>
      <c r="AH141" s="710">
        <f>IF(NFI_Expiration=1,IF($A141&lt;VLOOKUP(N$5,NFI,5,0),1,0)*Data_NFI_t[[#This Row],[Mosquito net]],0)</f>
        <v>0</v>
      </c>
      <c r="AI141" s="710">
        <f>IF(NFI_Expiration=1,IF($A141&lt;VLOOKUP(O$5,NFI,5,0),1,0)*Data_NFI_t[[#This Row],[Tarpaulin]],0)</f>
        <v>0</v>
      </c>
      <c r="AJ141" s="710">
        <f>IF(NFI_Expiration=1,IF($A141&lt;VLOOKUP(P$5,NFI,5,0),1,0)*Data_NFI_t[[#This Row],[Blanket]],0)</f>
        <v>0</v>
      </c>
      <c r="AK141" s="710">
        <f>IF(NFI_Expiration=1,IF($A141&lt;VLOOKUP(Q$5,NFI,5,0),1,0)*Data_NFI_t[[#This Row],[Kitchen Set]],0)</f>
        <v>0</v>
      </c>
      <c r="AL141" s="710">
        <f>IF(NFI_Expiration=1,IF($A141&lt;VLOOKUP(R$5,NFI,5,0),1,0)*Data_NFI_t[[#This Row],[Complementary Kit]],0)</f>
        <v>0</v>
      </c>
      <c r="AM141" s="710">
        <f>IF(NFI_Expiration=1,IF($A141&lt;VLOOKUP(S$5,NFI,5,0),1,0)*Data_NFI_t[[#This Row],[Plastic Bucket]],0)</f>
        <v>0</v>
      </c>
      <c r="AN141" s="709">
        <f>IF(NFI_Expiration=1,IF($A141&lt;VLOOKUP(T$5,NFI,5,0),1,0)*Data_NFI_t[[#This Row],[Jerry Can]],0)</f>
        <v>0</v>
      </c>
      <c r="AO141" s="709">
        <f>IF(NFI_Expiration=1,IF($A141&lt;VLOOKUP(U$5,NFI,5,0),1,0)*Data_NFI_t[[#This Row],[Plastic Mat]],0)</f>
        <v>0</v>
      </c>
      <c r="AP141" s="709">
        <f>IF(NFI_Expiration=1,IF($A141&lt;VLOOKUP(V$5,NFI,5,0),1,0)*Data_NFI_t[[#This Row],[Adult Clothes]],0)</f>
        <v>0</v>
      </c>
      <c r="AQ141" s="709">
        <f>IF(NFI_Expiration=1,IF($A141&lt;VLOOKUP(W$5,NFI,5,0),1,0)*Data_NFI_t[[#This Row],[Children Clothes]],0)</f>
        <v>0</v>
      </c>
      <c r="AR141" s="709">
        <f>IF(NFI_Expiration=1,IF($A141&lt;VLOOKUP(X$5,NFI,5,0),1,0)*Data_NFI_t[[#This Row],[Sewing Kit]],0)</f>
        <v>0</v>
      </c>
      <c r="AS141" s="709">
        <f>IF(NFI_Expiration=1,IF($A141&lt;VLOOKUP(X$5,NFI,5,0),1,0)*Data_NFI_t[[#This Row],[Solar Lantern]],0)</f>
        <v>0</v>
      </c>
      <c r="AT141" s="105" t="str">
        <f ca="1">IFERROR(OFFSET(Camp_List[P_Code],MATCH(Data_NFI_t[[#This Row],[Camp Name]],Camp_List[Camp Name],0)-1,0,1,1),"")</f>
        <v>MMR012CMP014</v>
      </c>
      <c r="AU141" s="412" t="str">
        <f ca="1">IFERROR(OFFSET(Camp_List[Status],MATCH(Data_NFI_t[[#This Row],[Camp Name]],Camp_List[Camp Name],0)-1,0,1,1),"")</f>
        <v>Open</v>
      </c>
      <c r="AV141" s="105"/>
      <c r="AW141" s="745"/>
      <c r="AX141" s="745"/>
      <c r="AY141" s="648"/>
    </row>
    <row r="142" spans="1:51" s="43" customFormat="1" ht="25.5" customHeight="1" x14ac:dyDescent="0.25">
      <c r="A142" s="711">
        <f t="shared" si="4"/>
        <v>20.766666666666666</v>
      </c>
      <c r="B142" s="712">
        <f>YEAR(Data_NFI_t[[#This Row],[Distribution Date]])</f>
        <v>2017</v>
      </c>
      <c r="C142" s="904">
        <v>42811</v>
      </c>
      <c r="D142" s="708" t="s">
        <v>270</v>
      </c>
      <c r="E142" s="708" t="s">
        <v>575</v>
      </c>
      <c r="F142" s="708" t="s">
        <v>7</v>
      </c>
      <c r="G142" s="713" t="s">
        <v>17</v>
      </c>
      <c r="H142" s="713" t="s">
        <v>66</v>
      </c>
      <c r="I142" s="714"/>
      <c r="J142" s="801">
        <v>2350</v>
      </c>
      <c r="K142" s="807">
        <f>J142*5.5</f>
        <v>12925</v>
      </c>
      <c r="L142" s="715"/>
      <c r="M142" s="715"/>
      <c r="N142" s="716">
        <v>2380</v>
      </c>
      <c r="O142" s="716"/>
      <c r="P142" s="716">
        <v>4760</v>
      </c>
      <c r="Q142" s="716"/>
      <c r="R142" s="716"/>
      <c r="S142" s="716"/>
      <c r="T142" s="717"/>
      <c r="U142" s="716">
        <v>11900</v>
      </c>
      <c r="V142" s="716"/>
      <c r="W142" s="716"/>
      <c r="X142" s="716"/>
      <c r="Y142" s="716"/>
      <c r="Z142" s="716"/>
      <c r="AA142" s="716"/>
      <c r="AB142" s="716"/>
      <c r="AC142" s="716"/>
      <c r="AD142" s="709">
        <f>IF(NFI_Expiration=1,IF($A142&lt;VLOOKUP(I$5,NFI,5,0),1,0)*Data_NFI_t[[#This Row],[Hygiene Kit]],0)</f>
        <v>0</v>
      </c>
      <c r="AE142" s="709">
        <f>IF(NFI_Expiration=1,IF($A142&lt;VLOOKUP(L$5,NFI,5,0),1,0)*Data_NFI_t[[#This Row],[NFI Core Kit]],0)</f>
        <v>0</v>
      </c>
      <c r="AF142" s="710">
        <f>IF(NFI_Expiration=1,IF($A142&lt;VLOOKUP(M$5,NFI,5,0),1,0)*Data_NFI_t[[#This Row],[Sanitary Kit]],0)</f>
        <v>0</v>
      </c>
      <c r="AG142" s="1055">
        <f>IF(NFI_Expiration=1,IF($A142&lt;VLOOKUP(AC$5,NFI,5,0),1,0)*Data_NFI_t[[#This Row],[Rope]],0)</f>
        <v>0</v>
      </c>
      <c r="AH142" s="710">
        <f>IF(NFI_Expiration=1,IF($A142&lt;VLOOKUP(N$5,NFI,5,0),1,0)*Data_NFI_t[[#This Row],[Mosquito net]],0)</f>
        <v>0</v>
      </c>
      <c r="AI142" s="710">
        <f>IF(NFI_Expiration=1,IF($A142&lt;VLOOKUP(O$5,NFI,5,0),1,0)*Data_NFI_t[[#This Row],[Tarpaulin]],0)</f>
        <v>0</v>
      </c>
      <c r="AJ142" s="710">
        <f>IF(NFI_Expiration=1,IF($A142&lt;VLOOKUP(P$5,NFI,5,0),1,0)*Data_NFI_t[[#This Row],[Blanket]],0)</f>
        <v>0</v>
      </c>
      <c r="AK142" s="710">
        <f>IF(NFI_Expiration=1,IF($A142&lt;VLOOKUP(Q$5,NFI,5,0),1,0)*Data_NFI_t[[#This Row],[Kitchen Set]],0)</f>
        <v>0</v>
      </c>
      <c r="AL142" s="710">
        <f>IF(NFI_Expiration=1,IF($A142&lt;VLOOKUP(R$5,NFI,5,0),1,0)*Data_NFI_t[[#This Row],[Complementary Kit]],0)</f>
        <v>0</v>
      </c>
      <c r="AM142" s="710">
        <f>IF(NFI_Expiration=1,IF($A142&lt;VLOOKUP(S$5,NFI,5,0),1,0)*Data_NFI_t[[#This Row],[Plastic Bucket]],0)</f>
        <v>0</v>
      </c>
      <c r="AN142" s="709">
        <f>IF(NFI_Expiration=1,IF($A142&lt;VLOOKUP(T$5,NFI,5,0),1,0)*Data_NFI_t[[#This Row],[Jerry Can]],0)</f>
        <v>0</v>
      </c>
      <c r="AO142" s="709">
        <f>IF(NFI_Expiration=1,IF($A142&lt;VLOOKUP(U$5,NFI,5,0),1,0)*Data_NFI_t[[#This Row],[Plastic Mat]],0)</f>
        <v>0</v>
      </c>
      <c r="AP142" s="709">
        <f>IF(NFI_Expiration=1,IF($A142&lt;VLOOKUP(V$5,NFI,5,0),1,0)*Data_NFI_t[[#This Row],[Adult Clothes]],0)</f>
        <v>0</v>
      </c>
      <c r="AQ142" s="709">
        <f>IF(NFI_Expiration=1,IF($A142&lt;VLOOKUP(W$5,NFI,5,0),1,0)*Data_NFI_t[[#This Row],[Children Clothes]],0)</f>
        <v>0</v>
      </c>
      <c r="AR142" s="709">
        <f>IF(NFI_Expiration=1,IF($A142&lt;VLOOKUP(X$5,NFI,5,0),1,0)*Data_NFI_t[[#This Row],[Sewing Kit]],0)</f>
        <v>0</v>
      </c>
      <c r="AS142" s="709">
        <f>IF(NFI_Expiration=1,IF($A142&lt;VLOOKUP(X$5,NFI,5,0),1,0)*Data_NFI_t[[#This Row],[Solar Lantern]],0)</f>
        <v>0</v>
      </c>
      <c r="AT142" s="105" t="str">
        <f ca="1">IFERROR(OFFSET(Camp_List[P_Code],MATCH(Data_NFI_t[[#This Row],[Camp Name]],Camp_List[Camp Name],0)-1,0,1,1),"")</f>
        <v>MMR012CMP046</v>
      </c>
      <c r="AU142" s="412" t="str">
        <f ca="1">IFERROR(OFFSET(Camp_List[Status],MATCH(Data_NFI_t[[#This Row],[Camp Name]],Camp_List[Camp Name],0)-1,0,1,1),"")</f>
        <v>Open</v>
      </c>
      <c r="AV142" s="105"/>
      <c r="AW142" s="745"/>
      <c r="AX142" s="745"/>
      <c r="AY142" s="648"/>
    </row>
    <row r="143" spans="1:51" s="43" customFormat="1" ht="25.5" customHeight="1" x14ac:dyDescent="0.25">
      <c r="A143" s="711">
        <f t="shared" si="4"/>
        <v>20.8</v>
      </c>
      <c r="B143" s="712">
        <f>YEAR(Data_NFI_t[[#This Row],[Distribution Date]])</f>
        <v>2017</v>
      </c>
      <c r="C143" s="904">
        <v>42810</v>
      </c>
      <c r="D143" s="708" t="s">
        <v>270</v>
      </c>
      <c r="E143" s="708" t="s">
        <v>575</v>
      </c>
      <c r="F143" s="708" t="s">
        <v>7</v>
      </c>
      <c r="G143" s="713" t="s">
        <v>13</v>
      </c>
      <c r="H143" s="713" t="s">
        <v>982</v>
      </c>
      <c r="I143" s="714"/>
      <c r="J143" s="803">
        <v>856</v>
      </c>
      <c r="K143" s="807">
        <f>J143*5.5</f>
        <v>4708</v>
      </c>
      <c r="L143" s="715"/>
      <c r="M143" s="715"/>
      <c r="N143" s="716">
        <v>856</v>
      </c>
      <c r="O143" s="716"/>
      <c r="P143" s="716"/>
      <c r="Q143" s="716"/>
      <c r="R143" s="716"/>
      <c r="S143" s="716"/>
      <c r="T143" s="717"/>
      <c r="U143" s="716"/>
      <c r="V143" s="716"/>
      <c r="W143" s="716"/>
      <c r="X143" s="716"/>
      <c r="Y143" s="716"/>
      <c r="Z143" s="716"/>
      <c r="AA143" s="716"/>
      <c r="AB143" s="716"/>
      <c r="AC143" s="716"/>
      <c r="AD143" s="709">
        <f>IF(NFI_Expiration=1,IF($A143&lt;VLOOKUP(I$5,NFI,5,0),1,0)*Data_NFI_t[[#This Row],[Hygiene Kit]],0)</f>
        <v>0</v>
      </c>
      <c r="AE143" s="709">
        <f>IF(NFI_Expiration=1,IF($A143&lt;VLOOKUP(L$5,NFI,5,0),1,0)*Data_NFI_t[[#This Row],[NFI Core Kit]],0)</f>
        <v>0</v>
      </c>
      <c r="AF143" s="710">
        <f>IF(NFI_Expiration=1,IF($A143&lt;VLOOKUP(M$5,NFI,5,0),1,0)*Data_NFI_t[[#This Row],[Sanitary Kit]],0)</f>
        <v>0</v>
      </c>
      <c r="AG143" s="1055">
        <f>IF(NFI_Expiration=1,IF($A143&lt;VLOOKUP(AC$5,NFI,5,0),1,0)*Data_NFI_t[[#This Row],[Rope]],0)</f>
        <v>0</v>
      </c>
      <c r="AH143" s="710">
        <f>IF(NFI_Expiration=1,IF($A143&lt;VLOOKUP(N$5,NFI,5,0),1,0)*Data_NFI_t[[#This Row],[Mosquito net]],0)</f>
        <v>0</v>
      </c>
      <c r="AI143" s="710">
        <f>IF(NFI_Expiration=1,IF($A143&lt;VLOOKUP(O$5,NFI,5,0),1,0)*Data_NFI_t[[#This Row],[Tarpaulin]],0)</f>
        <v>0</v>
      </c>
      <c r="AJ143" s="710">
        <f>IF(NFI_Expiration=1,IF($A143&lt;VLOOKUP(P$5,NFI,5,0),1,0)*Data_NFI_t[[#This Row],[Blanket]],0)</f>
        <v>0</v>
      </c>
      <c r="AK143" s="710">
        <f>IF(NFI_Expiration=1,IF($A143&lt;VLOOKUP(Q$5,NFI,5,0),1,0)*Data_NFI_t[[#This Row],[Kitchen Set]],0)</f>
        <v>0</v>
      </c>
      <c r="AL143" s="710">
        <f>IF(NFI_Expiration=1,IF($A143&lt;VLOOKUP(R$5,NFI,5,0),1,0)*Data_NFI_t[[#This Row],[Complementary Kit]],0)</f>
        <v>0</v>
      </c>
      <c r="AM143" s="710">
        <f>IF(NFI_Expiration=1,IF($A143&lt;VLOOKUP(S$5,NFI,5,0),1,0)*Data_NFI_t[[#This Row],[Plastic Bucket]],0)</f>
        <v>0</v>
      </c>
      <c r="AN143" s="709">
        <f>IF(NFI_Expiration=1,IF($A143&lt;VLOOKUP(T$5,NFI,5,0),1,0)*Data_NFI_t[[#This Row],[Jerry Can]],0)</f>
        <v>0</v>
      </c>
      <c r="AO143" s="709">
        <f>IF(NFI_Expiration=1,IF($A143&lt;VLOOKUP(U$5,NFI,5,0),1,0)*Data_NFI_t[[#This Row],[Plastic Mat]],0)</f>
        <v>0</v>
      </c>
      <c r="AP143" s="709">
        <f>IF(NFI_Expiration=1,IF($A143&lt;VLOOKUP(V$5,NFI,5,0),1,0)*Data_NFI_t[[#This Row],[Adult Clothes]],0)</f>
        <v>0</v>
      </c>
      <c r="AQ143" s="709">
        <f>IF(NFI_Expiration=1,IF($A143&lt;VLOOKUP(W$5,NFI,5,0),1,0)*Data_NFI_t[[#This Row],[Children Clothes]],0)</f>
        <v>0</v>
      </c>
      <c r="AR143" s="709">
        <f>IF(NFI_Expiration=1,IF($A143&lt;VLOOKUP(X$5,NFI,5,0),1,0)*Data_NFI_t[[#This Row],[Sewing Kit]],0)</f>
        <v>0</v>
      </c>
      <c r="AS143" s="709">
        <f>IF(NFI_Expiration=1,IF($A143&lt;VLOOKUP(X$5,NFI,5,0),1,0)*Data_NFI_t[[#This Row],[Solar Lantern]],0)</f>
        <v>0</v>
      </c>
      <c r="AT143" s="105" t="str">
        <f ca="1">IFERROR(OFFSET(Camp_List[P_Code],MATCH(Data_NFI_t[[#This Row],[Camp Name]],Camp_List[Camp Name],0)-1,0,1,1),"")</f>
        <v>MMR012CMP017</v>
      </c>
      <c r="AU143" s="412" t="str">
        <f ca="1">IFERROR(OFFSET(Camp_List[Status],MATCH(Data_NFI_t[[#This Row],[Camp Name]],Camp_List[Camp Name],0)-1,0,1,1),"")</f>
        <v>Open</v>
      </c>
      <c r="AV143" s="105"/>
      <c r="AW143" s="745"/>
      <c r="AX143" s="745"/>
      <c r="AY143" s="648"/>
    </row>
    <row r="144" spans="1:51" s="43" customFormat="1" ht="25.5" customHeight="1" x14ac:dyDescent="0.25">
      <c r="A144" s="711">
        <f t="shared" si="4"/>
        <v>20.8</v>
      </c>
      <c r="B144" s="712">
        <f>YEAR(Data_NFI_t[[#This Row],[Distribution Date]])</f>
        <v>2017</v>
      </c>
      <c r="C144" s="904">
        <v>42810</v>
      </c>
      <c r="D144" s="708" t="s">
        <v>270</v>
      </c>
      <c r="E144" s="708" t="s">
        <v>575</v>
      </c>
      <c r="F144" s="708" t="s">
        <v>7</v>
      </c>
      <c r="G144" s="713" t="s">
        <v>13</v>
      </c>
      <c r="H144" s="713" t="s">
        <v>38</v>
      </c>
      <c r="I144" s="714"/>
      <c r="J144" s="803">
        <v>1238</v>
      </c>
      <c r="K144" s="807">
        <f>J144*5.5</f>
        <v>6809</v>
      </c>
      <c r="L144" s="715"/>
      <c r="M144" s="715"/>
      <c r="N144" s="716">
        <v>1238</v>
      </c>
      <c r="O144" s="716"/>
      <c r="P144" s="716"/>
      <c r="Q144" s="716"/>
      <c r="R144" s="716"/>
      <c r="S144" s="716"/>
      <c r="T144" s="717"/>
      <c r="U144" s="716"/>
      <c r="V144" s="716"/>
      <c r="W144" s="716"/>
      <c r="X144" s="716"/>
      <c r="Y144" s="716"/>
      <c r="Z144" s="716"/>
      <c r="AA144" s="716"/>
      <c r="AB144" s="716"/>
      <c r="AC144" s="716"/>
      <c r="AD144" s="709">
        <f>IF(NFI_Expiration=1,IF($A144&lt;VLOOKUP(I$5,NFI,5,0),1,0)*Data_NFI_t[[#This Row],[Hygiene Kit]],0)</f>
        <v>0</v>
      </c>
      <c r="AE144" s="709">
        <f>IF(NFI_Expiration=1,IF($A144&lt;VLOOKUP(L$5,NFI,5,0),1,0)*Data_NFI_t[[#This Row],[NFI Core Kit]],0)</f>
        <v>0</v>
      </c>
      <c r="AF144" s="710">
        <f>IF(NFI_Expiration=1,IF($A144&lt;VLOOKUP(M$5,NFI,5,0),1,0)*Data_NFI_t[[#This Row],[Sanitary Kit]],0)</f>
        <v>0</v>
      </c>
      <c r="AG144" s="1055">
        <f>IF(NFI_Expiration=1,IF($A144&lt;VLOOKUP(AC$5,NFI,5,0),1,0)*Data_NFI_t[[#This Row],[Rope]],0)</f>
        <v>0</v>
      </c>
      <c r="AH144" s="710">
        <f>IF(NFI_Expiration=1,IF($A144&lt;VLOOKUP(N$5,NFI,5,0),1,0)*Data_NFI_t[[#This Row],[Mosquito net]],0)</f>
        <v>0</v>
      </c>
      <c r="AI144" s="710">
        <f>IF(NFI_Expiration=1,IF($A144&lt;VLOOKUP(O$5,NFI,5,0),1,0)*Data_NFI_t[[#This Row],[Tarpaulin]],0)</f>
        <v>0</v>
      </c>
      <c r="AJ144" s="710">
        <f>IF(NFI_Expiration=1,IF($A144&lt;VLOOKUP(P$5,NFI,5,0),1,0)*Data_NFI_t[[#This Row],[Blanket]],0)</f>
        <v>0</v>
      </c>
      <c r="AK144" s="710">
        <f>IF(NFI_Expiration=1,IF($A144&lt;VLOOKUP(Q$5,NFI,5,0),1,0)*Data_NFI_t[[#This Row],[Kitchen Set]],0)</f>
        <v>0</v>
      </c>
      <c r="AL144" s="710">
        <f>IF(NFI_Expiration=1,IF($A144&lt;VLOOKUP(R$5,NFI,5,0),1,0)*Data_NFI_t[[#This Row],[Complementary Kit]],0)</f>
        <v>0</v>
      </c>
      <c r="AM144" s="710">
        <f>IF(NFI_Expiration=1,IF($A144&lt;VLOOKUP(S$5,NFI,5,0),1,0)*Data_NFI_t[[#This Row],[Plastic Bucket]],0)</f>
        <v>0</v>
      </c>
      <c r="AN144" s="709">
        <f>IF(NFI_Expiration=1,IF($A144&lt;VLOOKUP(T$5,NFI,5,0),1,0)*Data_NFI_t[[#This Row],[Jerry Can]],0)</f>
        <v>0</v>
      </c>
      <c r="AO144" s="709">
        <f>IF(NFI_Expiration=1,IF($A144&lt;VLOOKUP(U$5,NFI,5,0),1,0)*Data_NFI_t[[#This Row],[Plastic Mat]],0)</f>
        <v>0</v>
      </c>
      <c r="AP144" s="709">
        <f>IF(NFI_Expiration=1,IF($A144&lt;VLOOKUP(V$5,NFI,5,0),1,0)*Data_NFI_t[[#This Row],[Adult Clothes]],0)</f>
        <v>0</v>
      </c>
      <c r="AQ144" s="709">
        <f>IF(NFI_Expiration=1,IF($A144&lt;VLOOKUP(W$5,NFI,5,0),1,0)*Data_NFI_t[[#This Row],[Children Clothes]],0)</f>
        <v>0</v>
      </c>
      <c r="AR144" s="709">
        <f>IF(NFI_Expiration=1,IF($A144&lt;VLOOKUP(X$5,NFI,5,0),1,0)*Data_NFI_t[[#This Row],[Sewing Kit]],0)</f>
        <v>0</v>
      </c>
      <c r="AS144" s="709">
        <f>IF(NFI_Expiration=1,IF($A144&lt;VLOOKUP(X$5,NFI,5,0),1,0)*Data_NFI_t[[#This Row],[Solar Lantern]],0)</f>
        <v>0</v>
      </c>
      <c r="AT144" s="105" t="str">
        <f ca="1">IFERROR(OFFSET(Camp_List[P_Code],MATCH(Data_NFI_t[[#This Row],[Camp Name]],Camp_List[Camp Name],0)-1,0,1,1),"")</f>
        <v>MMR012CMP016</v>
      </c>
      <c r="AU144" s="412" t="str">
        <f ca="1">IFERROR(OFFSET(Camp_List[Status],MATCH(Data_NFI_t[[#This Row],[Camp Name]],Camp_List[Camp Name],0)-1,0,1,1),"")</f>
        <v>Open</v>
      </c>
      <c r="AV144" s="105"/>
      <c r="AW144" s="745"/>
      <c r="AX144" s="745"/>
      <c r="AY144" s="648"/>
    </row>
    <row r="145" spans="1:51" s="43" customFormat="1" ht="25.5" customHeight="1" x14ac:dyDescent="0.25">
      <c r="A145" s="711">
        <f t="shared" si="4"/>
        <v>20.866666666666667</v>
      </c>
      <c r="B145" s="712">
        <f>YEAR(Data_NFI_t[[#This Row],[Distribution Date]])</f>
        <v>2017</v>
      </c>
      <c r="C145" s="904">
        <v>42808</v>
      </c>
      <c r="D145" s="708" t="s">
        <v>270</v>
      </c>
      <c r="E145" s="708" t="s">
        <v>575</v>
      </c>
      <c r="F145" s="708" t="s">
        <v>7</v>
      </c>
      <c r="G145" s="713" t="s">
        <v>17</v>
      </c>
      <c r="H145" s="713" t="s">
        <v>62</v>
      </c>
      <c r="I145" s="714"/>
      <c r="J145" s="803">
        <v>799</v>
      </c>
      <c r="K145" s="807">
        <v>4394</v>
      </c>
      <c r="L145" s="715"/>
      <c r="M145" s="715"/>
      <c r="N145" s="716">
        <v>799</v>
      </c>
      <c r="O145" s="716"/>
      <c r="P145" s="716"/>
      <c r="Q145" s="716">
        <v>799</v>
      </c>
      <c r="R145" s="716"/>
      <c r="S145" s="716"/>
      <c r="T145" s="717"/>
      <c r="U145" s="716"/>
      <c r="V145" s="716"/>
      <c r="W145" s="716"/>
      <c r="X145" s="716"/>
      <c r="Y145" s="716"/>
      <c r="Z145" s="716"/>
      <c r="AA145" s="716"/>
      <c r="AB145" s="716"/>
      <c r="AC145" s="716"/>
      <c r="AD145" s="709">
        <f>IF(NFI_Expiration=1,IF($A145&lt;VLOOKUP(I$5,NFI,5,0),1,0)*Data_NFI_t[[#This Row],[Hygiene Kit]],0)</f>
        <v>0</v>
      </c>
      <c r="AE145" s="709">
        <f>IF(NFI_Expiration=1,IF($A145&lt;VLOOKUP(L$5,NFI,5,0),1,0)*Data_NFI_t[[#This Row],[NFI Core Kit]],0)</f>
        <v>0</v>
      </c>
      <c r="AF145" s="710">
        <f>IF(NFI_Expiration=1,IF($A145&lt;VLOOKUP(M$5,NFI,5,0),1,0)*Data_NFI_t[[#This Row],[Sanitary Kit]],0)</f>
        <v>0</v>
      </c>
      <c r="AG145" s="1055">
        <f>IF(NFI_Expiration=1,IF($A145&lt;VLOOKUP(AC$5,NFI,5,0),1,0)*Data_NFI_t[[#This Row],[Rope]],0)</f>
        <v>0</v>
      </c>
      <c r="AH145" s="710">
        <f>IF(NFI_Expiration=1,IF($A145&lt;VLOOKUP(N$5,NFI,5,0),1,0)*Data_NFI_t[[#This Row],[Mosquito net]],0)</f>
        <v>0</v>
      </c>
      <c r="AI145" s="710">
        <f>IF(NFI_Expiration=1,IF($A145&lt;VLOOKUP(O$5,NFI,5,0),1,0)*Data_NFI_t[[#This Row],[Tarpaulin]],0)</f>
        <v>0</v>
      </c>
      <c r="AJ145" s="710">
        <f>IF(NFI_Expiration=1,IF($A145&lt;VLOOKUP(P$5,NFI,5,0),1,0)*Data_NFI_t[[#This Row],[Blanket]],0)</f>
        <v>0</v>
      </c>
      <c r="AK145" s="710">
        <f>IF(NFI_Expiration=1,IF($A145&lt;VLOOKUP(Q$5,NFI,5,0),1,0)*Data_NFI_t[[#This Row],[Kitchen Set]],0)</f>
        <v>0</v>
      </c>
      <c r="AL145" s="710">
        <f>IF(NFI_Expiration=1,IF($A145&lt;VLOOKUP(R$5,NFI,5,0),1,0)*Data_NFI_t[[#This Row],[Complementary Kit]],0)</f>
        <v>0</v>
      </c>
      <c r="AM145" s="710">
        <f>IF(NFI_Expiration=1,IF($A145&lt;VLOOKUP(S$5,NFI,5,0),1,0)*Data_NFI_t[[#This Row],[Plastic Bucket]],0)</f>
        <v>0</v>
      </c>
      <c r="AN145" s="709">
        <f>IF(NFI_Expiration=1,IF($A145&lt;VLOOKUP(T$5,NFI,5,0),1,0)*Data_NFI_t[[#This Row],[Jerry Can]],0)</f>
        <v>0</v>
      </c>
      <c r="AO145" s="709">
        <f>IF(NFI_Expiration=1,IF($A145&lt;VLOOKUP(U$5,NFI,5,0),1,0)*Data_NFI_t[[#This Row],[Plastic Mat]],0)</f>
        <v>0</v>
      </c>
      <c r="AP145" s="709">
        <f>IF(NFI_Expiration=1,IF($A145&lt;VLOOKUP(V$5,NFI,5,0),1,0)*Data_NFI_t[[#This Row],[Adult Clothes]],0)</f>
        <v>0</v>
      </c>
      <c r="AQ145" s="709">
        <f>IF(NFI_Expiration=1,IF($A145&lt;VLOOKUP(W$5,NFI,5,0),1,0)*Data_NFI_t[[#This Row],[Children Clothes]],0)</f>
        <v>0</v>
      </c>
      <c r="AR145" s="709">
        <f>IF(NFI_Expiration=1,IF($A145&lt;VLOOKUP(X$5,NFI,5,0),1,0)*Data_NFI_t[[#This Row],[Sewing Kit]],0)</f>
        <v>0</v>
      </c>
      <c r="AS145" s="709">
        <f>IF(NFI_Expiration=1,IF($A145&lt;VLOOKUP(X$5,NFI,5,0),1,0)*Data_NFI_t[[#This Row],[Solar Lantern]],0)</f>
        <v>0</v>
      </c>
      <c r="AT145" s="105" t="str">
        <f ca="1">IFERROR(OFFSET(Camp_List[P_Code],MATCH(Data_NFI_t[[#This Row],[Camp Name]],Camp_List[Camp Name],0)-1,0,1,1),"")</f>
        <v/>
      </c>
      <c r="AU145" s="412" t="str">
        <f ca="1">IFERROR(OFFSET(Camp_List[Status],MATCH(Data_NFI_t[[#This Row],[Camp Name]],Camp_List[Camp Name],0)-1,0,1,1),"")</f>
        <v/>
      </c>
      <c r="AV145" s="105"/>
      <c r="AW145" s="745"/>
      <c r="AX145" s="745"/>
      <c r="AY145" s="648"/>
    </row>
    <row r="146" spans="1:51" s="43" customFormat="1" ht="25.5" customHeight="1" x14ac:dyDescent="0.25">
      <c r="A146" s="711">
        <f t="shared" si="4"/>
        <v>21</v>
      </c>
      <c r="B146" s="712">
        <f>YEAR(Data_NFI_t[[#This Row],[Distribution Date]])</f>
        <v>2017</v>
      </c>
      <c r="C146" s="904">
        <v>42804</v>
      </c>
      <c r="D146" s="708" t="s">
        <v>270</v>
      </c>
      <c r="E146" s="708" t="s">
        <v>575</v>
      </c>
      <c r="F146" s="708" t="s">
        <v>7</v>
      </c>
      <c r="G146" s="713" t="s">
        <v>17</v>
      </c>
      <c r="H146" s="713" t="s">
        <v>59</v>
      </c>
      <c r="I146" s="714"/>
      <c r="J146" s="801">
        <v>397</v>
      </c>
      <c r="K146" s="807">
        <v>2183</v>
      </c>
      <c r="L146" s="715"/>
      <c r="M146" s="715"/>
      <c r="N146" s="716">
        <v>397</v>
      </c>
      <c r="O146" s="716"/>
      <c r="P146" s="716">
        <v>794</v>
      </c>
      <c r="Q146" s="716">
        <v>397</v>
      </c>
      <c r="R146" s="716"/>
      <c r="S146" s="716"/>
      <c r="T146" s="717"/>
      <c r="U146" s="716">
        <v>1859</v>
      </c>
      <c r="V146" s="716"/>
      <c r="W146" s="716"/>
      <c r="X146" s="716"/>
      <c r="Y146" s="716"/>
      <c r="Z146" s="716"/>
      <c r="AA146" s="716"/>
      <c r="AB146" s="716"/>
      <c r="AC146" s="716"/>
      <c r="AD146" s="709">
        <f>IF(NFI_Expiration=1,IF($A146&lt;VLOOKUP(I$5,NFI,5,0),1,0)*Data_NFI_t[[#This Row],[Hygiene Kit]],0)</f>
        <v>0</v>
      </c>
      <c r="AE146" s="709">
        <f>IF(NFI_Expiration=1,IF($A146&lt;VLOOKUP(L$5,NFI,5,0),1,0)*Data_NFI_t[[#This Row],[NFI Core Kit]],0)</f>
        <v>0</v>
      </c>
      <c r="AF146" s="710">
        <f>IF(NFI_Expiration=1,IF($A146&lt;VLOOKUP(M$5,NFI,5,0),1,0)*Data_NFI_t[[#This Row],[Sanitary Kit]],0)</f>
        <v>0</v>
      </c>
      <c r="AG146" s="1055">
        <f>IF(NFI_Expiration=1,IF($A146&lt;VLOOKUP(AC$5,NFI,5,0),1,0)*Data_NFI_t[[#This Row],[Rope]],0)</f>
        <v>0</v>
      </c>
      <c r="AH146" s="710">
        <f>IF(NFI_Expiration=1,IF($A146&lt;VLOOKUP(N$5,NFI,5,0),1,0)*Data_NFI_t[[#This Row],[Mosquito net]],0)</f>
        <v>0</v>
      </c>
      <c r="AI146" s="710">
        <f>IF(NFI_Expiration=1,IF($A146&lt;VLOOKUP(O$5,NFI,5,0),1,0)*Data_NFI_t[[#This Row],[Tarpaulin]],0)</f>
        <v>0</v>
      </c>
      <c r="AJ146" s="710">
        <f>IF(NFI_Expiration=1,IF($A146&lt;VLOOKUP(P$5,NFI,5,0),1,0)*Data_NFI_t[[#This Row],[Blanket]],0)</f>
        <v>0</v>
      </c>
      <c r="AK146" s="710">
        <f>IF(NFI_Expiration=1,IF($A146&lt;VLOOKUP(Q$5,NFI,5,0),1,0)*Data_NFI_t[[#This Row],[Kitchen Set]],0)</f>
        <v>0</v>
      </c>
      <c r="AL146" s="710">
        <f>IF(NFI_Expiration=1,IF($A146&lt;VLOOKUP(R$5,NFI,5,0),1,0)*Data_NFI_t[[#This Row],[Complementary Kit]],0)</f>
        <v>0</v>
      </c>
      <c r="AM146" s="710">
        <f>IF(NFI_Expiration=1,IF($A146&lt;VLOOKUP(S$5,NFI,5,0),1,0)*Data_NFI_t[[#This Row],[Plastic Bucket]],0)</f>
        <v>0</v>
      </c>
      <c r="AN146" s="709">
        <f>IF(NFI_Expiration=1,IF($A146&lt;VLOOKUP(T$5,NFI,5,0),1,0)*Data_NFI_t[[#This Row],[Jerry Can]],0)</f>
        <v>0</v>
      </c>
      <c r="AO146" s="709">
        <f>IF(NFI_Expiration=1,IF($A146&lt;VLOOKUP(U$5,NFI,5,0),1,0)*Data_NFI_t[[#This Row],[Plastic Mat]],0)</f>
        <v>0</v>
      </c>
      <c r="AP146" s="709">
        <f>IF(NFI_Expiration=1,IF($A146&lt;VLOOKUP(V$5,NFI,5,0),1,0)*Data_NFI_t[[#This Row],[Adult Clothes]],0)</f>
        <v>0</v>
      </c>
      <c r="AQ146" s="709">
        <f>IF(NFI_Expiration=1,IF($A146&lt;VLOOKUP(W$5,NFI,5,0),1,0)*Data_NFI_t[[#This Row],[Children Clothes]],0)</f>
        <v>0</v>
      </c>
      <c r="AR146" s="709">
        <f>IF(NFI_Expiration=1,IF($A146&lt;VLOOKUP(X$5,NFI,5,0),1,0)*Data_NFI_t[[#This Row],[Sewing Kit]],0)</f>
        <v>0</v>
      </c>
      <c r="AS146" s="709">
        <f>IF(NFI_Expiration=1,IF($A146&lt;VLOOKUP(X$5,NFI,5,0),1,0)*Data_NFI_t[[#This Row],[Solar Lantern]],0)</f>
        <v>0</v>
      </c>
      <c r="AT146" s="105" t="str">
        <f ca="1">IFERROR(OFFSET(Camp_List[P_Code],MATCH(Data_NFI_t[[#This Row],[Camp Name]],Camp_List[Camp Name],0)-1,0,1,1),"")</f>
        <v>MMR012CMP039</v>
      </c>
      <c r="AU146" s="412" t="str">
        <f ca="1">IFERROR(OFFSET(Camp_List[Status],MATCH(Data_NFI_t[[#This Row],[Camp Name]],Camp_List[Camp Name],0)-1,0,1,1),"")</f>
        <v>Open</v>
      </c>
      <c r="AV146" s="105"/>
      <c r="AW146" s="745"/>
      <c r="AX146" s="745"/>
      <c r="AY146" s="648"/>
    </row>
    <row r="147" spans="1:51" s="43" customFormat="1" ht="25.5" customHeight="1" x14ac:dyDescent="0.25">
      <c r="A147" s="711">
        <f t="shared" si="4"/>
        <v>21.133333333333333</v>
      </c>
      <c r="B147" s="712">
        <f>YEAR(Data_NFI_t[[#This Row],[Distribution Date]])</f>
        <v>2017</v>
      </c>
      <c r="C147" s="904">
        <v>42800</v>
      </c>
      <c r="D147" s="708" t="s">
        <v>904</v>
      </c>
      <c r="E147" s="708" t="s">
        <v>904</v>
      </c>
      <c r="F147" s="708" t="s">
        <v>7</v>
      </c>
      <c r="G147" s="713" t="s">
        <v>15</v>
      </c>
      <c r="H147" s="713" t="s">
        <v>55</v>
      </c>
      <c r="I147" s="714"/>
      <c r="J147" s="819">
        <v>270</v>
      </c>
      <c r="K147" s="819">
        <v>1485</v>
      </c>
      <c r="L147" s="715">
        <v>270</v>
      </c>
      <c r="M147" s="715"/>
      <c r="N147" s="716"/>
      <c r="O147" s="716"/>
      <c r="P147" s="716">
        <v>270</v>
      </c>
      <c r="Q147" s="716"/>
      <c r="R147" s="716"/>
      <c r="S147" s="716"/>
      <c r="T147" s="717"/>
      <c r="U147" s="716"/>
      <c r="V147" s="716"/>
      <c r="W147" s="716"/>
      <c r="X147" s="716"/>
      <c r="Y147" s="716"/>
      <c r="Z147" s="716"/>
      <c r="AA147" s="716"/>
      <c r="AB147" s="716"/>
      <c r="AC147" s="716"/>
      <c r="AD147" s="709">
        <f>IF(NFI_Expiration=1,IF($A147&lt;VLOOKUP(I$5,NFI,5,0),1,0)*Data_NFI_t[[#This Row],[Hygiene Kit]],0)</f>
        <v>0</v>
      </c>
      <c r="AE147" s="709">
        <f>IF(NFI_Expiration=1,IF($A147&lt;VLOOKUP(L$5,NFI,5,0),1,0)*Data_NFI_t[[#This Row],[NFI Core Kit]],0)</f>
        <v>0</v>
      </c>
      <c r="AF147" s="710">
        <f>IF(NFI_Expiration=1,IF($A147&lt;VLOOKUP(M$5,NFI,5,0),1,0)*Data_NFI_t[[#This Row],[Sanitary Kit]],0)</f>
        <v>0</v>
      </c>
      <c r="AG147" s="1055">
        <f>IF(NFI_Expiration=1,IF($A147&lt;VLOOKUP(AC$5,NFI,5,0),1,0)*Data_NFI_t[[#This Row],[Rope]],0)</f>
        <v>0</v>
      </c>
      <c r="AH147" s="710">
        <f>IF(NFI_Expiration=1,IF($A147&lt;VLOOKUP(N$5,NFI,5,0),1,0)*Data_NFI_t[[#This Row],[Mosquito net]],0)</f>
        <v>0</v>
      </c>
      <c r="AI147" s="710">
        <f>IF(NFI_Expiration=1,IF($A147&lt;VLOOKUP(O$5,NFI,5,0),1,0)*Data_NFI_t[[#This Row],[Tarpaulin]],0)</f>
        <v>0</v>
      </c>
      <c r="AJ147" s="710">
        <f>IF(NFI_Expiration=1,IF($A147&lt;VLOOKUP(P$5,NFI,5,0),1,0)*Data_NFI_t[[#This Row],[Blanket]],0)</f>
        <v>0</v>
      </c>
      <c r="AK147" s="710">
        <f>IF(NFI_Expiration=1,IF($A147&lt;VLOOKUP(Q$5,NFI,5,0),1,0)*Data_NFI_t[[#This Row],[Kitchen Set]],0)</f>
        <v>0</v>
      </c>
      <c r="AL147" s="710">
        <f>IF(NFI_Expiration=1,IF($A147&lt;VLOOKUP(R$5,NFI,5,0),1,0)*Data_NFI_t[[#This Row],[Complementary Kit]],0)</f>
        <v>0</v>
      </c>
      <c r="AM147" s="710">
        <f>IF(NFI_Expiration=1,IF($A147&lt;VLOOKUP(S$5,NFI,5,0),1,0)*Data_NFI_t[[#This Row],[Plastic Bucket]],0)</f>
        <v>0</v>
      </c>
      <c r="AN147" s="709">
        <f>IF(NFI_Expiration=1,IF($A147&lt;VLOOKUP(T$5,NFI,5,0),1,0)*Data_NFI_t[[#This Row],[Jerry Can]],0)</f>
        <v>0</v>
      </c>
      <c r="AO147" s="709">
        <f>IF(NFI_Expiration=1,IF($A147&lt;VLOOKUP(U$5,NFI,5,0),1,0)*Data_NFI_t[[#This Row],[Plastic Mat]],0)</f>
        <v>0</v>
      </c>
      <c r="AP147" s="709">
        <f>IF(NFI_Expiration=1,IF($A147&lt;VLOOKUP(V$5,NFI,5,0),1,0)*Data_NFI_t[[#This Row],[Adult Clothes]],0)</f>
        <v>0</v>
      </c>
      <c r="AQ147" s="709">
        <f>IF(NFI_Expiration=1,IF($A147&lt;VLOOKUP(W$5,NFI,5,0),1,0)*Data_NFI_t[[#This Row],[Children Clothes]],0)</f>
        <v>0</v>
      </c>
      <c r="AR147" s="709">
        <f>IF(NFI_Expiration=1,IF($A147&lt;VLOOKUP(X$5,NFI,5,0),1,0)*Data_NFI_t[[#This Row],[Sewing Kit]],0)</f>
        <v>0</v>
      </c>
      <c r="AS147" s="709">
        <f>IF(NFI_Expiration=1,IF($A147&lt;VLOOKUP(X$5,NFI,5,0),1,0)*Data_NFI_t[[#This Row],[Solar Lantern]],0)</f>
        <v>0</v>
      </c>
      <c r="AT147" s="105" t="str">
        <f ca="1">IFERROR(OFFSET(Camp_List[P_Code],MATCH(Data_NFI_t[[#This Row],[Camp Name]],Camp_List[Camp Name],0)-1,0,1,1),"")</f>
        <v/>
      </c>
      <c r="AU147" s="412" t="str">
        <f ca="1">IFERROR(OFFSET(Camp_List[Status],MATCH(Data_NFI_t[[#This Row],[Camp Name]],Camp_List[Camp Name],0)-1,0,1,1),"")</f>
        <v/>
      </c>
      <c r="AV147" s="105"/>
      <c r="AW147" s="745"/>
      <c r="AX147" s="745"/>
      <c r="AY147" s="648"/>
    </row>
    <row r="148" spans="1:51" s="727" customFormat="1" ht="21" customHeight="1" x14ac:dyDescent="0.25">
      <c r="A148" s="730">
        <f t="shared" si="4"/>
        <v>21.366666666666667</v>
      </c>
      <c r="B148" s="731">
        <f>YEAR(Data_NFI_t[[#This Row],[Distribution Date]])</f>
        <v>2017</v>
      </c>
      <c r="C148" s="732">
        <v>42793</v>
      </c>
      <c r="D148" s="733" t="s">
        <v>280</v>
      </c>
      <c r="E148" s="734" t="s">
        <v>280</v>
      </c>
      <c r="F148" s="733" t="s">
        <v>7</v>
      </c>
      <c r="G148" s="728" t="s">
        <v>17</v>
      </c>
      <c r="H148" s="728" t="s">
        <v>587</v>
      </c>
      <c r="I148" s="729"/>
      <c r="J148" s="818" t="s">
        <v>1091</v>
      </c>
      <c r="K148" s="818">
        <v>2009</v>
      </c>
      <c r="L148" s="735"/>
      <c r="M148" s="735"/>
      <c r="N148" s="736"/>
      <c r="O148" s="736"/>
      <c r="P148" s="736"/>
      <c r="Q148" s="736"/>
      <c r="R148" s="736"/>
      <c r="S148" s="736"/>
      <c r="T148" s="737"/>
      <c r="U148" s="736"/>
      <c r="V148" s="736"/>
      <c r="W148" s="736">
        <v>2009</v>
      </c>
      <c r="X148" s="736"/>
      <c r="Y148" s="736"/>
      <c r="Z148" s="736"/>
      <c r="AA148" s="736"/>
      <c r="AB148" s="736"/>
      <c r="AC148" s="736"/>
      <c r="AD148" s="738">
        <f>IF(NFI_Expiration=1,IF($A148&lt;VLOOKUP(I$5,NFI,5,0),1,0)*Data_NFI_t[[#This Row],[Hygiene Kit]],0)</f>
        <v>0</v>
      </c>
      <c r="AE148" s="738">
        <f>IF(NFI_Expiration=1,IF($A148&lt;VLOOKUP(L$5,NFI,5,0),1,0)*Data_NFI_t[[#This Row],[NFI Core Kit]],0)</f>
        <v>0</v>
      </c>
      <c r="AF148" s="739">
        <f>IF(NFI_Expiration=1,IF($A148&lt;VLOOKUP(M$5,NFI,5,0),1,0)*Data_NFI_t[[#This Row],[Sanitary Kit]],0)</f>
        <v>0</v>
      </c>
      <c r="AG148" s="1055">
        <f>IF(NFI_Expiration=1,IF($A148&lt;VLOOKUP(AC$5,NFI,5,0),1,0)*Data_NFI_t[[#This Row],[Rope]],0)</f>
        <v>0</v>
      </c>
      <c r="AH148" s="739">
        <f>IF(NFI_Expiration=1,IF($A148&lt;VLOOKUP(N$5,NFI,5,0),1,0)*Data_NFI_t[[#This Row],[Mosquito net]],0)</f>
        <v>0</v>
      </c>
      <c r="AI148" s="739">
        <f>IF(NFI_Expiration=1,IF($A148&lt;VLOOKUP(O$5,NFI,5,0),1,0)*Data_NFI_t[[#This Row],[Tarpaulin]],0)</f>
        <v>0</v>
      </c>
      <c r="AJ148" s="739">
        <f>IF(NFI_Expiration=1,IF($A148&lt;VLOOKUP(P$5,NFI,5,0),1,0)*Data_NFI_t[[#This Row],[Blanket]],0)</f>
        <v>0</v>
      </c>
      <c r="AK148" s="739">
        <f>IF(NFI_Expiration=1,IF($A148&lt;VLOOKUP(Q$5,NFI,5,0),1,0)*Data_NFI_t[[#This Row],[Kitchen Set]],0)</f>
        <v>0</v>
      </c>
      <c r="AL148" s="739">
        <f>IF(NFI_Expiration=1,IF($A148&lt;VLOOKUP(R$5,NFI,5,0),1,0)*Data_NFI_t[[#This Row],[Complementary Kit]],0)</f>
        <v>0</v>
      </c>
      <c r="AM148" s="739">
        <f>IF(NFI_Expiration=1,IF($A148&lt;VLOOKUP(S$5,NFI,5,0),1,0)*Data_NFI_t[[#This Row],[Plastic Bucket]],0)</f>
        <v>0</v>
      </c>
      <c r="AN148" s="738">
        <f>IF(NFI_Expiration=1,IF($A148&lt;VLOOKUP(T$5,NFI,5,0),1,0)*Data_NFI_t[[#This Row],[Jerry Can]],0)</f>
        <v>0</v>
      </c>
      <c r="AO148" s="709">
        <f>IF(NFI_Expiration=1,IF($A148&lt;VLOOKUP(U$5,NFI,5,0),1,0)*Data_NFI_t[[#This Row],[Plastic Mat]],0)</f>
        <v>0</v>
      </c>
      <c r="AP148" s="738">
        <f>IF(NFI_Expiration=1,IF($A148&lt;VLOOKUP(V$5,NFI,5,0),1,0)*Data_NFI_t[[#This Row],[Adult Clothes]],0)</f>
        <v>0</v>
      </c>
      <c r="AQ148" s="738">
        <f>IF(NFI_Expiration=1,IF($A148&lt;VLOOKUP(W$5,NFI,5,0),1,0)*Data_NFI_t[[#This Row],[Children Clothes]],0)</f>
        <v>0</v>
      </c>
      <c r="AR148" s="738">
        <f>IF(NFI_Expiration=1,IF($A148&lt;VLOOKUP(X$5,NFI,5,0),1,0)*Data_NFI_t[[#This Row],[Sewing Kit]],0)</f>
        <v>0</v>
      </c>
      <c r="AS148" s="709">
        <f>IF(NFI_Expiration=1,IF($A148&lt;VLOOKUP(X$5,NFI,5,0),1,0)*Data_NFI_t[[#This Row],[Solar Lantern]],0)</f>
        <v>0</v>
      </c>
      <c r="AT148" s="740" t="str">
        <f ca="1">IFERROR(OFFSET(Camp_List[P_Code],MATCH(Data_NFI_t[[#This Row],[Camp Name]],Camp_List[Camp Name],0)-1,0,1,1),"")</f>
        <v>MMR012CMP116</v>
      </c>
      <c r="AU148" s="741" t="str">
        <f ca="1">IFERROR(OFFSET(Camp_List[Status],MATCH(Data_NFI_t[[#This Row],[Camp Name]],Camp_List[Camp Name],0)-1,0,1,1),"")</f>
        <v>Open</v>
      </c>
      <c r="AV148" s="740"/>
    </row>
    <row r="149" spans="1:51" s="727" customFormat="1" ht="21" customHeight="1" x14ac:dyDescent="0.25">
      <c r="A149" s="730">
        <f t="shared" si="4"/>
        <v>22.066666666666666</v>
      </c>
      <c r="B149" s="731">
        <f>YEAR(Data_NFI_t[[#This Row],[Distribution Date]])</f>
        <v>2017</v>
      </c>
      <c r="C149" s="732">
        <v>42772</v>
      </c>
      <c r="D149" s="733" t="s">
        <v>1037</v>
      </c>
      <c r="E149" s="734" t="s">
        <v>575</v>
      </c>
      <c r="F149" s="733" t="s">
        <v>7</v>
      </c>
      <c r="G149" s="728" t="s">
        <v>17</v>
      </c>
      <c r="H149" s="728" t="s">
        <v>66</v>
      </c>
      <c r="I149" s="729"/>
      <c r="J149" s="817"/>
      <c r="K149" s="817"/>
      <c r="L149" s="735"/>
      <c r="M149" s="735"/>
      <c r="N149" s="736"/>
      <c r="O149" s="736"/>
      <c r="P149" s="736"/>
      <c r="Q149" s="736"/>
      <c r="R149" s="736"/>
      <c r="S149" s="736"/>
      <c r="T149" s="737"/>
      <c r="U149" s="736"/>
      <c r="V149" s="813"/>
      <c r="W149" s="814">
        <v>4000</v>
      </c>
      <c r="X149" s="736"/>
      <c r="Y149" s="736"/>
      <c r="Z149" s="736"/>
      <c r="AA149" s="736"/>
      <c r="AB149" s="736"/>
      <c r="AC149" s="736"/>
      <c r="AD149" s="738">
        <f>IF(NFI_Expiration=1,IF($A149&lt;VLOOKUP(I$5,NFI,5,0),1,0)*Data_NFI_t[[#This Row],[Hygiene Kit]],0)</f>
        <v>0</v>
      </c>
      <c r="AE149" s="738">
        <f>IF(NFI_Expiration=1,IF($A149&lt;VLOOKUP(L$5,NFI,5,0),1,0)*Data_NFI_t[[#This Row],[NFI Core Kit]],0)</f>
        <v>0</v>
      </c>
      <c r="AF149" s="739">
        <f>IF(NFI_Expiration=1,IF($A149&lt;VLOOKUP(M$5,NFI,5,0),1,0)*Data_NFI_t[[#This Row],[Sanitary Kit]],0)</f>
        <v>0</v>
      </c>
      <c r="AG149" s="1055">
        <f>IF(NFI_Expiration=1,IF($A149&lt;VLOOKUP(AC$5,NFI,5,0),1,0)*Data_NFI_t[[#This Row],[Rope]],0)</f>
        <v>0</v>
      </c>
      <c r="AH149" s="739">
        <f>IF(NFI_Expiration=1,IF($A149&lt;VLOOKUP(N$5,NFI,5,0),1,0)*Data_NFI_t[[#This Row],[Mosquito net]],0)</f>
        <v>0</v>
      </c>
      <c r="AI149" s="739">
        <f>IF(NFI_Expiration=1,IF($A149&lt;VLOOKUP(O$5,NFI,5,0),1,0)*Data_NFI_t[[#This Row],[Tarpaulin]],0)</f>
        <v>0</v>
      </c>
      <c r="AJ149" s="739">
        <f>IF(NFI_Expiration=1,IF($A149&lt;VLOOKUP(P$5,NFI,5,0),1,0)*Data_NFI_t[[#This Row],[Blanket]],0)</f>
        <v>0</v>
      </c>
      <c r="AK149" s="739">
        <f>IF(NFI_Expiration=1,IF($A149&lt;VLOOKUP(Q$5,NFI,5,0),1,0)*Data_NFI_t[[#This Row],[Kitchen Set]],0)</f>
        <v>0</v>
      </c>
      <c r="AL149" s="739">
        <f>IF(NFI_Expiration=1,IF($A149&lt;VLOOKUP(R$5,NFI,5,0),1,0)*Data_NFI_t[[#This Row],[Complementary Kit]],0)</f>
        <v>0</v>
      </c>
      <c r="AM149" s="739">
        <f>IF(NFI_Expiration=1,IF($A149&lt;VLOOKUP(S$5,NFI,5,0),1,0)*Data_NFI_t[[#This Row],[Plastic Bucket]],0)</f>
        <v>0</v>
      </c>
      <c r="AN149" s="738">
        <f>IF(NFI_Expiration=1,IF($A149&lt;VLOOKUP(T$5,NFI,5,0),1,0)*Data_NFI_t[[#This Row],[Jerry Can]],0)</f>
        <v>0</v>
      </c>
      <c r="AO149" s="709">
        <f>IF(NFI_Expiration=1,IF($A149&lt;VLOOKUP(U$5,NFI,5,0),1,0)*Data_NFI_t[[#This Row],[Plastic Mat]],0)</f>
        <v>0</v>
      </c>
      <c r="AP149" s="738">
        <f>IF(NFI_Expiration=1,IF($A149&lt;VLOOKUP(V$5,NFI,5,0),1,0)*Data_NFI_t[[#This Row],[Adult Clothes]],0)</f>
        <v>0</v>
      </c>
      <c r="AQ149" s="738">
        <f>IF(NFI_Expiration=1,IF($A149&lt;VLOOKUP(W$5,NFI,5,0),1,0)*Data_NFI_t[[#This Row],[Children Clothes]],0)</f>
        <v>0</v>
      </c>
      <c r="AR149" s="738">
        <f>IF(NFI_Expiration=1,IF($A149&lt;VLOOKUP(X$5,NFI,5,0),1,0)*Data_NFI_t[[#This Row],[Sewing Kit]],0)</f>
        <v>0</v>
      </c>
      <c r="AS149" s="709">
        <f>IF(NFI_Expiration=1,IF($A149&lt;VLOOKUP(X$5,NFI,5,0),1,0)*Data_NFI_t[[#This Row],[Solar Lantern]],0)</f>
        <v>0</v>
      </c>
      <c r="AT149" s="740" t="str">
        <f ca="1">IFERROR(OFFSET(Camp_List[P_Code],MATCH(Data_NFI_t[[#This Row],[Camp Name]],Camp_List[Camp Name],0)-1,0,1,1),"")</f>
        <v>MMR012CMP046</v>
      </c>
      <c r="AU149" s="741" t="str">
        <f ca="1">IFERROR(OFFSET(Camp_List[Status],MATCH(Data_NFI_t[[#This Row],[Camp Name]],Camp_List[Camp Name],0)-1,0,1,1),"")</f>
        <v>Open</v>
      </c>
      <c r="AV149" s="740"/>
    </row>
    <row r="150" spans="1:51" s="727" customFormat="1" ht="21" customHeight="1" x14ac:dyDescent="0.25">
      <c r="A150" s="730">
        <f t="shared" si="4"/>
        <v>22.066666666666666</v>
      </c>
      <c r="B150" s="731">
        <f>YEAR(Data_NFI_t[[#This Row],[Distribution Date]])</f>
        <v>2017</v>
      </c>
      <c r="C150" s="732">
        <v>42772</v>
      </c>
      <c r="D150" s="733" t="s">
        <v>270</v>
      </c>
      <c r="E150" s="734" t="s">
        <v>270</v>
      </c>
      <c r="F150" s="733" t="s">
        <v>7</v>
      </c>
      <c r="G150" s="728" t="s">
        <v>15</v>
      </c>
      <c r="H150" s="728" t="s">
        <v>55</v>
      </c>
      <c r="I150" s="729"/>
      <c r="J150" s="801">
        <v>557</v>
      </c>
      <c r="K150" s="807">
        <v>3063</v>
      </c>
      <c r="L150" s="735"/>
      <c r="M150" s="735"/>
      <c r="N150" s="736"/>
      <c r="O150" s="736"/>
      <c r="P150" s="736">
        <v>1114</v>
      </c>
      <c r="Q150" s="736"/>
      <c r="R150" s="736"/>
      <c r="S150" s="736"/>
      <c r="T150" s="737"/>
      <c r="U150" s="736"/>
      <c r="V150" s="736"/>
      <c r="W150" s="742"/>
      <c r="X150" s="736"/>
      <c r="Y150" s="736"/>
      <c r="Z150" s="736"/>
      <c r="AA150" s="736"/>
      <c r="AB150" s="736"/>
      <c r="AC150" s="736"/>
      <c r="AD150" s="738">
        <f>IF(NFI_Expiration=1,IF($A150&lt;VLOOKUP(I$5,NFI,5,0),1,0)*Data_NFI_t[[#This Row],[Hygiene Kit]],0)</f>
        <v>0</v>
      </c>
      <c r="AE150" s="738">
        <f>IF(NFI_Expiration=1,IF($A150&lt;VLOOKUP(L$5,NFI,5,0),1,0)*Data_NFI_t[[#This Row],[NFI Core Kit]],0)</f>
        <v>0</v>
      </c>
      <c r="AF150" s="739">
        <f>IF(NFI_Expiration=1,IF($A150&lt;VLOOKUP(M$5,NFI,5,0),1,0)*Data_NFI_t[[#This Row],[Sanitary Kit]],0)</f>
        <v>0</v>
      </c>
      <c r="AG150" s="1055">
        <f>IF(NFI_Expiration=1,IF($A150&lt;VLOOKUP(AC$5,NFI,5,0),1,0)*Data_NFI_t[[#This Row],[Rope]],0)</f>
        <v>0</v>
      </c>
      <c r="AH150" s="739">
        <f>IF(NFI_Expiration=1,IF($A150&lt;VLOOKUP(N$5,NFI,5,0),1,0)*Data_NFI_t[[#This Row],[Mosquito net]],0)</f>
        <v>0</v>
      </c>
      <c r="AI150" s="739">
        <f>IF(NFI_Expiration=1,IF($A150&lt;VLOOKUP(O$5,NFI,5,0),1,0)*Data_NFI_t[[#This Row],[Tarpaulin]],0)</f>
        <v>0</v>
      </c>
      <c r="AJ150" s="739">
        <f>IF(NFI_Expiration=1,IF($A150&lt;VLOOKUP(P$5,NFI,5,0),1,0)*Data_NFI_t[[#This Row],[Blanket]],0)</f>
        <v>0</v>
      </c>
      <c r="AK150" s="739">
        <f>IF(NFI_Expiration=1,IF($A150&lt;VLOOKUP(Q$5,NFI,5,0),1,0)*Data_NFI_t[[#This Row],[Kitchen Set]],0)</f>
        <v>0</v>
      </c>
      <c r="AL150" s="739">
        <f>IF(NFI_Expiration=1,IF($A150&lt;VLOOKUP(R$5,NFI,5,0),1,0)*Data_NFI_t[[#This Row],[Complementary Kit]],0)</f>
        <v>0</v>
      </c>
      <c r="AM150" s="739">
        <f>IF(NFI_Expiration=1,IF($A150&lt;VLOOKUP(S$5,NFI,5,0),1,0)*Data_NFI_t[[#This Row],[Plastic Bucket]],0)</f>
        <v>0</v>
      </c>
      <c r="AN150" s="738">
        <f>IF(NFI_Expiration=1,IF($A150&lt;VLOOKUP(T$5,NFI,5,0),1,0)*Data_NFI_t[[#This Row],[Jerry Can]],0)</f>
        <v>0</v>
      </c>
      <c r="AO150" s="709">
        <f>IF(NFI_Expiration=1,IF($A150&lt;VLOOKUP(U$5,NFI,5,0),1,0)*Data_NFI_t[[#This Row],[Plastic Mat]],0)</f>
        <v>0</v>
      </c>
      <c r="AP150" s="738">
        <f>IF(NFI_Expiration=1,IF($A150&lt;VLOOKUP(V$5,NFI,5,0),1,0)*Data_NFI_t[[#This Row],[Adult Clothes]],0)</f>
        <v>0</v>
      </c>
      <c r="AQ150" s="738">
        <f>IF(NFI_Expiration=1,IF($A150&lt;VLOOKUP(W$5,NFI,5,0),1,0)*Data_NFI_t[[#This Row],[Children Clothes]],0)</f>
        <v>0</v>
      </c>
      <c r="AR150" s="738">
        <f>IF(NFI_Expiration=1,IF($A150&lt;VLOOKUP(X$5,NFI,5,0),1,0)*Data_NFI_t[[#This Row],[Sewing Kit]],0)</f>
        <v>0</v>
      </c>
      <c r="AS150" s="709">
        <f>IF(NFI_Expiration=1,IF($A150&lt;VLOOKUP(X$5,NFI,5,0),1,0)*Data_NFI_t[[#This Row],[Solar Lantern]],0)</f>
        <v>0</v>
      </c>
      <c r="AT150" s="740" t="str">
        <f ca="1">IFERROR(OFFSET(Camp_List[P_Code],MATCH(Data_NFI_t[[#This Row],[Camp Name]],Camp_List[Camp Name],0)-1,0,1,1),"")</f>
        <v/>
      </c>
      <c r="AU150" s="741" t="str">
        <f ca="1">IFERROR(OFFSET(Camp_List[Status],MATCH(Data_NFI_t[[#This Row],[Camp Name]],Camp_List[Camp Name],0)-1,0,1,1),"")</f>
        <v/>
      </c>
      <c r="AV150" s="740"/>
    </row>
    <row r="151" spans="1:51" s="727" customFormat="1" ht="21" customHeight="1" x14ac:dyDescent="0.25">
      <c r="A151" s="730">
        <f t="shared" si="4"/>
        <v>22.266666666666666</v>
      </c>
      <c r="B151" s="731">
        <f>YEAR(Data_NFI_t[[#This Row],[Distribution Date]])</f>
        <v>2017</v>
      </c>
      <c r="C151" s="732">
        <v>42766</v>
      </c>
      <c r="D151" s="733" t="s">
        <v>1035</v>
      </c>
      <c r="E151" s="734" t="s">
        <v>1035</v>
      </c>
      <c r="F151" s="733" t="s">
        <v>7</v>
      </c>
      <c r="G151" s="728" t="s">
        <v>17</v>
      </c>
      <c r="H151" s="728" t="s">
        <v>59</v>
      </c>
      <c r="I151" s="729"/>
      <c r="J151" s="818">
        <v>397</v>
      </c>
      <c r="K151" s="903">
        <v>2184</v>
      </c>
      <c r="L151" s="735"/>
      <c r="M151" s="735">
        <v>397</v>
      </c>
      <c r="N151" s="736"/>
      <c r="O151" s="736"/>
      <c r="P151" s="736"/>
      <c r="Q151" s="736"/>
      <c r="R151" s="736"/>
      <c r="S151" s="736"/>
      <c r="T151" s="737"/>
      <c r="U151" s="736"/>
      <c r="V151" s="736"/>
      <c r="W151" s="736"/>
      <c r="X151" s="736"/>
      <c r="Y151" s="736"/>
      <c r="Z151" s="736"/>
      <c r="AA151" s="736"/>
      <c r="AB151" s="736"/>
      <c r="AC151" s="736"/>
      <c r="AD151" s="738">
        <f>IF(NFI_Expiration=1,IF($A151&lt;VLOOKUP(I$5,NFI,5,0),1,0)*Data_NFI_t[[#This Row],[Hygiene Kit]],0)</f>
        <v>0</v>
      </c>
      <c r="AE151" s="738">
        <f>IF(NFI_Expiration=1,IF($A151&lt;VLOOKUP(L$5,NFI,5,0),1,0)*Data_NFI_t[[#This Row],[NFI Core Kit]],0)</f>
        <v>0</v>
      </c>
      <c r="AF151" s="739">
        <f>IF(NFI_Expiration=1,IF($A151&lt;VLOOKUP(M$5,NFI,5,0),1,0)*Data_NFI_t[[#This Row],[Sanitary Kit]],0)</f>
        <v>0</v>
      </c>
      <c r="AG151" s="1055">
        <f>IF(NFI_Expiration=1,IF($A151&lt;VLOOKUP(AC$5,NFI,5,0),1,0)*Data_NFI_t[[#This Row],[Rope]],0)</f>
        <v>0</v>
      </c>
      <c r="AH151" s="739">
        <f>IF(NFI_Expiration=1,IF($A151&lt;VLOOKUP(N$5,NFI,5,0),1,0)*Data_NFI_t[[#This Row],[Mosquito net]],0)</f>
        <v>0</v>
      </c>
      <c r="AI151" s="739">
        <f>IF(NFI_Expiration=1,IF($A151&lt;VLOOKUP(O$5,NFI,5,0),1,0)*Data_NFI_t[[#This Row],[Tarpaulin]],0)</f>
        <v>0</v>
      </c>
      <c r="AJ151" s="739">
        <f>IF(NFI_Expiration=1,IF($A151&lt;VLOOKUP(P$5,NFI,5,0),1,0)*Data_NFI_t[[#This Row],[Blanket]],0)</f>
        <v>0</v>
      </c>
      <c r="AK151" s="739">
        <f>IF(NFI_Expiration=1,IF($A151&lt;VLOOKUP(Q$5,NFI,5,0),1,0)*Data_NFI_t[[#This Row],[Kitchen Set]],0)</f>
        <v>0</v>
      </c>
      <c r="AL151" s="739">
        <f>IF(NFI_Expiration=1,IF($A151&lt;VLOOKUP(R$5,NFI,5,0),1,0)*Data_NFI_t[[#This Row],[Complementary Kit]],0)</f>
        <v>0</v>
      </c>
      <c r="AM151" s="739">
        <f>IF(NFI_Expiration=1,IF($A151&lt;VLOOKUP(S$5,NFI,5,0),1,0)*Data_NFI_t[[#This Row],[Plastic Bucket]],0)</f>
        <v>0</v>
      </c>
      <c r="AN151" s="738">
        <f>IF(NFI_Expiration=1,IF($A151&lt;VLOOKUP(T$5,NFI,5,0),1,0)*Data_NFI_t[[#This Row],[Jerry Can]],0)</f>
        <v>0</v>
      </c>
      <c r="AO151" s="709">
        <f>IF(NFI_Expiration=1,IF($A151&lt;VLOOKUP(U$5,NFI,5,0),1,0)*Data_NFI_t[[#This Row],[Plastic Mat]],0)</f>
        <v>0</v>
      </c>
      <c r="AP151" s="738">
        <f>IF(NFI_Expiration=1,IF($A151&lt;VLOOKUP(V$5,NFI,5,0),1,0)*Data_NFI_t[[#This Row],[Adult Clothes]],0)</f>
        <v>0</v>
      </c>
      <c r="AQ151" s="738">
        <f>IF(NFI_Expiration=1,IF($A151&lt;VLOOKUP(W$5,NFI,5,0),1,0)*Data_NFI_t[[#This Row],[Children Clothes]],0)</f>
        <v>0</v>
      </c>
      <c r="AR151" s="738">
        <f>IF(NFI_Expiration=1,IF($A151&lt;VLOOKUP(X$5,NFI,5,0),1,0)*Data_NFI_t[[#This Row],[Sewing Kit]],0)</f>
        <v>0</v>
      </c>
      <c r="AS151" s="709">
        <f>IF(NFI_Expiration=1,IF($A151&lt;VLOOKUP(X$5,NFI,5,0),1,0)*Data_NFI_t[[#This Row],[Solar Lantern]],0)</f>
        <v>0</v>
      </c>
      <c r="AT151" s="740" t="str">
        <f ca="1">IFERROR(OFFSET(Camp_List[P_Code],MATCH(Data_NFI_t[[#This Row],[Camp Name]],Camp_List[Camp Name],0)-1,0,1,1),"")</f>
        <v>MMR012CMP039</v>
      </c>
      <c r="AU151" s="741" t="str">
        <f ca="1">IFERROR(OFFSET(Camp_List[Status],MATCH(Data_NFI_t[[#This Row],[Camp Name]],Camp_List[Camp Name],0)-1,0,1,1),"")</f>
        <v>Open</v>
      </c>
      <c r="AV151" s="740"/>
    </row>
    <row r="152" spans="1:51" s="43" customFormat="1" ht="17.25" customHeight="1" x14ac:dyDescent="0.25">
      <c r="A152" s="711">
        <f t="shared" si="4"/>
        <v>22.533333333333335</v>
      </c>
      <c r="B152" s="712">
        <f>YEAR(Data_NFI_t[[#This Row],[Distribution Date]])</f>
        <v>2017</v>
      </c>
      <c r="C152" s="904">
        <v>42758</v>
      </c>
      <c r="D152" s="708" t="s">
        <v>1037</v>
      </c>
      <c r="E152" s="708" t="s">
        <v>575</v>
      </c>
      <c r="F152" s="708" t="s">
        <v>7</v>
      </c>
      <c r="G152" s="713" t="s">
        <v>13</v>
      </c>
      <c r="H152" s="713" t="s">
        <v>982</v>
      </c>
      <c r="I152" s="714"/>
      <c r="J152" s="815"/>
      <c r="K152" s="820">
        <v>858</v>
      </c>
      <c r="L152" s="715"/>
      <c r="M152" s="715"/>
      <c r="N152" s="716"/>
      <c r="O152" s="716"/>
      <c r="P152" s="716"/>
      <c r="Q152" s="716"/>
      <c r="R152" s="716"/>
      <c r="S152" s="716"/>
      <c r="T152" s="717"/>
      <c r="U152" s="716"/>
      <c r="V152" s="812">
        <v>858</v>
      </c>
      <c r="W152" s="812"/>
      <c r="X152" s="716"/>
      <c r="Y152" s="716"/>
      <c r="Z152" s="716"/>
      <c r="AA152" s="716"/>
      <c r="AB152" s="716"/>
      <c r="AC152" s="716"/>
      <c r="AD152" s="709">
        <f>IF(NFI_Expiration=1,IF($A152&lt;VLOOKUP(I$5,NFI,5,0),1,0)*Data_NFI_t[[#This Row],[Hygiene Kit]],0)</f>
        <v>0</v>
      </c>
      <c r="AE152" s="709">
        <f>IF(NFI_Expiration=1,IF($A152&lt;VLOOKUP(L$5,NFI,5,0),1,0)*Data_NFI_t[[#This Row],[NFI Core Kit]],0)</f>
        <v>0</v>
      </c>
      <c r="AF152" s="710">
        <f>IF(NFI_Expiration=1,IF($A152&lt;VLOOKUP(M$5,NFI,5,0),1,0)*Data_NFI_t[[#This Row],[Sanitary Kit]],0)</f>
        <v>0</v>
      </c>
      <c r="AG152" s="1055">
        <f>IF(NFI_Expiration=1,IF($A152&lt;VLOOKUP(AC$5,NFI,5,0),1,0)*Data_NFI_t[[#This Row],[Rope]],0)</f>
        <v>0</v>
      </c>
      <c r="AH152" s="710">
        <f>IF(NFI_Expiration=1,IF($A152&lt;VLOOKUP(N$5,NFI,5,0),1,0)*Data_NFI_t[[#This Row],[Mosquito net]],0)</f>
        <v>0</v>
      </c>
      <c r="AI152" s="710">
        <f>IF(NFI_Expiration=1,IF($A152&lt;VLOOKUP(O$5,NFI,5,0),1,0)*Data_NFI_t[[#This Row],[Tarpaulin]],0)</f>
        <v>0</v>
      </c>
      <c r="AJ152" s="710">
        <f>IF(NFI_Expiration=1,IF($A152&lt;VLOOKUP(P$5,NFI,5,0),1,0)*Data_NFI_t[[#This Row],[Blanket]],0)</f>
        <v>0</v>
      </c>
      <c r="AK152" s="710">
        <f>IF(NFI_Expiration=1,IF($A152&lt;VLOOKUP(Q$5,NFI,5,0),1,0)*Data_NFI_t[[#This Row],[Kitchen Set]],0)</f>
        <v>0</v>
      </c>
      <c r="AL152" s="710">
        <f>IF(NFI_Expiration=1,IF($A152&lt;VLOOKUP(R$5,NFI,5,0),1,0)*Data_NFI_t[[#This Row],[Complementary Kit]],0)</f>
        <v>0</v>
      </c>
      <c r="AM152" s="710">
        <f>IF(NFI_Expiration=1,IF($A152&lt;VLOOKUP(S$5,NFI,5,0),1,0)*Data_NFI_t[[#This Row],[Plastic Bucket]],0)</f>
        <v>0</v>
      </c>
      <c r="AN152" s="709">
        <f>IF(NFI_Expiration=1,IF($A152&lt;VLOOKUP(T$5,NFI,5,0),1,0)*Data_NFI_t[[#This Row],[Jerry Can]],0)</f>
        <v>0</v>
      </c>
      <c r="AO152" s="709">
        <f>IF(NFI_Expiration=1,IF($A152&lt;VLOOKUP(U$5,NFI,5,0),1,0)*Data_NFI_t[[#This Row],[Plastic Mat]],0)</f>
        <v>0</v>
      </c>
      <c r="AP152" s="709">
        <f>IF(NFI_Expiration=1,IF($A152&lt;VLOOKUP(V$5,NFI,5,0),1,0)*Data_NFI_t[[#This Row],[Adult Clothes]],0)</f>
        <v>0</v>
      </c>
      <c r="AQ152" s="709">
        <f>IF(NFI_Expiration=1,IF($A152&lt;VLOOKUP(W$5,NFI,5,0),1,0)*Data_NFI_t[[#This Row],[Children Clothes]],0)</f>
        <v>0</v>
      </c>
      <c r="AR152" s="709">
        <f>IF(NFI_Expiration=1,IF($A152&lt;VLOOKUP(X$5,NFI,5,0),1,0)*Data_NFI_t[[#This Row],[Sewing Kit]],0)</f>
        <v>0</v>
      </c>
      <c r="AS152" s="709">
        <f>IF(NFI_Expiration=1,IF($A152&lt;VLOOKUP(X$5,NFI,5,0),1,0)*Data_NFI_t[[#This Row],[Solar Lantern]],0)</f>
        <v>0</v>
      </c>
      <c r="AT152" s="105" t="str">
        <f ca="1">IFERROR(OFFSET(Camp_List[P_Code],MATCH(Data_NFI_t[[#This Row],[Camp Name]],Camp_List[Camp Name],0)-1,0,1,1),"")</f>
        <v>MMR012CMP017</v>
      </c>
      <c r="AU152" s="412" t="str">
        <f ca="1">IFERROR(OFFSET(Camp_List[Status],MATCH(Data_NFI_t[[#This Row],[Camp Name]],Camp_List[Camp Name],0)-1,0,1,1),"")</f>
        <v>Open</v>
      </c>
      <c r="AV152" s="724" t="s">
        <v>1034</v>
      </c>
      <c r="AY152" s="648"/>
    </row>
    <row r="153" spans="1:51" s="43" customFormat="1" ht="17.25" customHeight="1" x14ac:dyDescent="0.25">
      <c r="A153" s="711">
        <f t="shared" si="4"/>
        <v>22.533333333333335</v>
      </c>
      <c r="B153" s="712">
        <f>YEAR(Data_NFI_t[[#This Row],[Distribution Date]])</f>
        <v>2017</v>
      </c>
      <c r="C153" s="904">
        <v>42758</v>
      </c>
      <c r="D153" s="708" t="s">
        <v>1037</v>
      </c>
      <c r="E153" s="708" t="s">
        <v>575</v>
      </c>
      <c r="F153" s="708" t="s">
        <v>7</v>
      </c>
      <c r="G153" s="713" t="s">
        <v>13</v>
      </c>
      <c r="H153" s="713" t="s">
        <v>38</v>
      </c>
      <c r="I153" s="714"/>
      <c r="J153" s="815"/>
      <c r="K153" s="820">
        <v>1212</v>
      </c>
      <c r="L153" s="715"/>
      <c r="M153" s="715"/>
      <c r="N153" s="716"/>
      <c r="O153" s="716"/>
      <c r="P153" s="716"/>
      <c r="Q153" s="716"/>
      <c r="R153" s="716"/>
      <c r="S153" s="716"/>
      <c r="T153" s="717"/>
      <c r="U153" s="716"/>
      <c r="V153" s="809">
        <v>1224</v>
      </c>
      <c r="W153" s="812"/>
      <c r="X153" s="716"/>
      <c r="Y153" s="716"/>
      <c r="Z153" s="716"/>
      <c r="AA153" s="716"/>
      <c r="AB153" s="716"/>
      <c r="AC153" s="716"/>
      <c r="AD153" s="709">
        <f>IF(NFI_Expiration=1,IF($A153&lt;VLOOKUP(I$5,NFI,5,0),1,0)*Data_NFI_t[[#This Row],[Hygiene Kit]],0)</f>
        <v>0</v>
      </c>
      <c r="AE153" s="709">
        <f>IF(NFI_Expiration=1,IF($A153&lt;VLOOKUP(L$5,NFI,5,0),1,0)*Data_NFI_t[[#This Row],[NFI Core Kit]],0)</f>
        <v>0</v>
      </c>
      <c r="AF153" s="710">
        <f>IF(NFI_Expiration=1,IF($A153&lt;VLOOKUP(M$5,NFI,5,0),1,0)*Data_NFI_t[[#This Row],[Sanitary Kit]],0)</f>
        <v>0</v>
      </c>
      <c r="AG153" s="1055">
        <f>IF(NFI_Expiration=1,IF($A153&lt;VLOOKUP(AC$5,NFI,5,0),1,0)*Data_NFI_t[[#This Row],[Rope]],0)</f>
        <v>0</v>
      </c>
      <c r="AH153" s="710">
        <f>IF(NFI_Expiration=1,IF($A153&lt;VLOOKUP(N$5,NFI,5,0),1,0)*Data_NFI_t[[#This Row],[Mosquito net]],0)</f>
        <v>0</v>
      </c>
      <c r="AI153" s="710">
        <f>IF(NFI_Expiration=1,IF($A153&lt;VLOOKUP(O$5,NFI,5,0),1,0)*Data_NFI_t[[#This Row],[Tarpaulin]],0)</f>
        <v>0</v>
      </c>
      <c r="AJ153" s="710">
        <f>IF(NFI_Expiration=1,IF($A153&lt;VLOOKUP(P$5,NFI,5,0),1,0)*Data_NFI_t[[#This Row],[Blanket]],0)</f>
        <v>0</v>
      </c>
      <c r="AK153" s="710">
        <f>IF(NFI_Expiration=1,IF($A153&lt;VLOOKUP(Q$5,NFI,5,0),1,0)*Data_NFI_t[[#This Row],[Kitchen Set]],0)</f>
        <v>0</v>
      </c>
      <c r="AL153" s="710">
        <f>IF(NFI_Expiration=1,IF($A153&lt;VLOOKUP(R$5,NFI,5,0),1,0)*Data_NFI_t[[#This Row],[Complementary Kit]],0)</f>
        <v>0</v>
      </c>
      <c r="AM153" s="710">
        <f>IF(NFI_Expiration=1,IF($A153&lt;VLOOKUP(S$5,NFI,5,0),1,0)*Data_NFI_t[[#This Row],[Plastic Bucket]],0)</f>
        <v>0</v>
      </c>
      <c r="AN153" s="709">
        <f>IF(NFI_Expiration=1,IF($A153&lt;VLOOKUP(T$5,NFI,5,0),1,0)*Data_NFI_t[[#This Row],[Jerry Can]],0)</f>
        <v>0</v>
      </c>
      <c r="AO153" s="709">
        <f>IF(NFI_Expiration=1,IF($A153&lt;VLOOKUP(U$5,NFI,5,0),1,0)*Data_NFI_t[[#This Row],[Plastic Mat]],0)</f>
        <v>0</v>
      </c>
      <c r="AP153" s="709">
        <f>IF(NFI_Expiration=1,IF($A153&lt;VLOOKUP(V$5,NFI,5,0),1,0)*Data_NFI_t[[#This Row],[Adult Clothes]],0)</f>
        <v>0</v>
      </c>
      <c r="AQ153" s="709">
        <f>IF(NFI_Expiration=1,IF($A153&lt;VLOOKUP(W$5,NFI,5,0),1,0)*Data_NFI_t[[#This Row],[Children Clothes]],0)</f>
        <v>0</v>
      </c>
      <c r="AR153" s="709">
        <f>IF(NFI_Expiration=1,IF($A153&lt;VLOOKUP(X$5,NFI,5,0),1,0)*Data_NFI_t[[#This Row],[Sewing Kit]],0)</f>
        <v>0</v>
      </c>
      <c r="AS153" s="709">
        <f>IF(NFI_Expiration=1,IF($A153&lt;VLOOKUP(X$5,NFI,5,0),1,0)*Data_NFI_t[[#This Row],[Solar Lantern]],0)</f>
        <v>0</v>
      </c>
      <c r="AT153" s="105" t="str">
        <f ca="1">IFERROR(OFFSET(Camp_List[P_Code],MATCH(Data_NFI_t[[#This Row],[Camp Name]],Camp_List[Camp Name],0)-1,0,1,1),"")</f>
        <v>MMR012CMP016</v>
      </c>
      <c r="AU153" s="412" t="str">
        <f ca="1">IFERROR(OFFSET(Camp_List[Status],MATCH(Data_NFI_t[[#This Row],[Camp Name]],Camp_List[Camp Name],0)-1,0,1,1),"")</f>
        <v>Open</v>
      </c>
      <c r="AV153" s="724" t="s">
        <v>1034</v>
      </c>
      <c r="AY153" s="648"/>
    </row>
    <row r="154" spans="1:51" s="43" customFormat="1" ht="17.25" customHeight="1" x14ac:dyDescent="0.25">
      <c r="A154" s="711">
        <f t="shared" si="4"/>
        <v>22.533333333333335</v>
      </c>
      <c r="B154" s="712">
        <f>YEAR(Data_NFI_t[[#This Row],[Distribution Date]])</f>
        <v>2017</v>
      </c>
      <c r="C154" s="904">
        <v>42758</v>
      </c>
      <c r="D154" s="708" t="s">
        <v>476</v>
      </c>
      <c r="E154" s="708" t="s">
        <v>476</v>
      </c>
      <c r="F154" s="708" t="s">
        <v>7</v>
      </c>
      <c r="G154" s="713" t="s">
        <v>17</v>
      </c>
      <c r="H154" s="713" t="s">
        <v>62</v>
      </c>
      <c r="I154" s="714"/>
      <c r="J154" s="819">
        <v>799</v>
      </c>
      <c r="K154" s="819">
        <v>4395</v>
      </c>
      <c r="L154" s="715"/>
      <c r="M154" s="715">
        <v>799</v>
      </c>
      <c r="N154" s="716"/>
      <c r="O154" s="716"/>
      <c r="P154" s="716"/>
      <c r="Q154" s="716"/>
      <c r="R154" s="716"/>
      <c r="S154" s="716"/>
      <c r="T154" s="717"/>
      <c r="U154" s="716"/>
      <c r="V154" s="716"/>
      <c r="W154" s="716"/>
      <c r="X154" s="716"/>
      <c r="Y154" s="716"/>
      <c r="Z154" s="716"/>
      <c r="AA154" s="716"/>
      <c r="AB154" s="716"/>
      <c r="AC154" s="716"/>
      <c r="AD154" s="709">
        <f>IF(NFI_Expiration=1,IF($A154&lt;VLOOKUP(I$5,NFI,5,0),1,0)*Data_NFI_t[[#This Row],[Hygiene Kit]],0)</f>
        <v>0</v>
      </c>
      <c r="AE154" s="709">
        <f>IF(NFI_Expiration=1,IF($A154&lt;VLOOKUP(L$5,NFI,5,0),1,0)*Data_NFI_t[[#This Row],[NFI Core Kit]],0)</f>
        <v>0</v>
      </c>
      <c r="AF154" s="710">
        <f>IF(NFI_Expiration=1,IF($A154&lt;VLOOKUP(M$5,NFI,5,0),1,0)*Data_NFI_t[[#This Row],[Sanitary Kit]],0)</f>
        <v>0</v>
      </c>
      <c r="AG154" s="1055">
        <f>IF(NFI_Expiration=1,IF($A154&lt;VLOOKUP(AC$5,NFI,5,0),1,0)*Data_NFI_t[[#This Row],[Rope]],0)</f>
        <v>0</v>
      </c>
      <c r="AH154" s="710">
        <f>IF(NFI_Expiration=1,IF($A154&lt;VLOOKUP(N$5,NFI,5,0),1,0)*Data_NFI_t[[#This Row],[Mosquito net]],0)</f>
        <v>0</v>
      </c>
      <c r="AI154" s="710">
        <f>IF(NFI_Expiration=1,IF($A154&lt;VLOOKUP(O$5,NFI,5,0),1,0)*Data_NFI_t[[#This Row],[Tarpaulin]],0)</f>
        <v>0</v>
      </c>
      <c r="AJ154" s="710">
        <f>IF(NFI_Expiration=1,IF($A154&lt;VLOOKUP(P$5,NFI,5,0),1,0)*Data_NFI_t[[#This Row],[Blanket]],0)</f>
        <v>0</v>
      </c>
      <c r="AK154" s="710">
        <f>IF(NFI_Expiration=1,IF($A154&lt;VLOOKUP(Q$5,NFI,5,0),1,0)*Data_NFI_t[[#This Row],[Kitchen Set]],0)</f>
        <v>0</v>
      </c>
      <c r="AL154" s="710">
        <f>IF(NFI_Expiration=1,IF($A154&lt;VLOOKUP(R$5,NFI,5,0),1,0)*Data_NFI_t[[#This Row],[Complementary Kit]],0)</f>
        <v>0</v>
      </c>
      <c r="AM154" s="710">
        <f>IF(NFI_Expiration=1,IF($A154&lt;VLOOKUP(S$5,NFI,5,0),1,0)*Data_NFI_t[[#This Row],[Plastic Bucket]],0)</f>
        <v>0</v>
      </c>
      <c r="AN154" s="709">
        <f>IF(NFI_Expiration=1,IF($A154&lt;VLOOKUP(T$5,NFI,5,0),1,0)*Data_NFI_t[[#This Row],[Jerry Can]],0)</f>
        <v>0</v>
      </c>
      <c r="AO154" s="709">
        <f>IF(NFI_Expiration=1,IF($A154&lt;VLOOKUP(U$5,NFI,5,0),1,0)*Data_NFI_t[[#This Row],[Plastic Mat]],0)</f>
        <v>0</v>
      </c>
      <c r="AP154" s="709">
        <f>IF(NFI_Expiration=1,IF($A154&lt;VLOOKUP(V$5,NFI,5,0),1,0)*Data_NFI_t[[#This Row],[Adult Clothes]],0)</f>
        <v>0</v>
      </c>
      <c r="AQ154" s="709">
        <f>IF(NFI_Expiration=1,IF($A154&lt;VLOOKUP(W$5,NFI,5,0),1,0)*Data_NFI_t[[#This Row],[Children Clothes]],0)</f>
        <v>0</v>
      </c>
      <c r="AR154" s="709">
        <f>IF(NFI_Expiration=1,IF($A154&lt;VLOOKUP(X$5,NFI,5,0),1,0)*Data_NFI_t[[#This Row],[Sewing Kit]],0)</f>
        <v>0</v>
      </c>
      <c r="AS154" s="709">
        <f>IF(NFI_Expiration=1,IF($A154&lt;VLOOKUP(X$5,NFI,5,0),1,0)*Data_NFI_t[[#This Row],[Solar Lantern]],0)</f>
        <v>0</v>
      </c>
      <c r="AT154" s="105" t="str">
        <f ca="1">IFERROR(OFFSET(Camp_List[P_Code],MATCH(Data_NFI_t[[#This Row],[Camp Name]],Camp_List[Camp Name],0)-1,0,1,1),"")</f>
        <v/>
      </c>
      <c r="AU154" s="412" t="str">
        <f ca="1">IFERROR(OFFSET(Camp_List[Status],MATCH(Data_NFI_t[[#This Row],[Camp Name]],Camp_List[Camp Name],0)-1,0,1,1),"")</f>
        <v/>
      </c>
      <c r="AV154" s="724" t="s">
        <v>1034</v>
      </c>
      <c r="AY154" s="648"/>
    </row>
    <row r="155" spans="1:51" s="43" customFormat="1" ht="17.25" customHeight="1" x14ac:dyDescent="0.25">
      <c r="A155" s="711">
        <f t="shared" si="4"/>
        <v>22.533333333333335</v>
      </c>
      <c r="B155" s="712">
        <f>YEAR(Data_NFI_t[[#This Row],[Distribution Date]])</f>
        <v>2017</v>
      </c>
      <c r="C155" s="904">
        <v>42758</v>
      </c>
      <c r="D155" s="708" t="s">
        <v>1027</v>
      </c>
      <c r="E155" s="708" t="s">
        <v>1027</v>
      </c>
      <c r="F155" s="708" t="s">
        <v>7</v>
      </c>
      <c r="G155" s="713" t="s">
        <v>814</v>
      </c>
      <c r="H155" s="713" t="s">
        <v>36</v>
      </c>
      <c r="I155" s="714"/>
      <c r="J155" s="819">
        <v>690</v>
      </c>
      <c r="K155" s="819">
        <v>3795</v>
      </c>
      <c r="L155" s="715"/>
      <c r="M155" s="715"/>
      <c r="N155" s="716">
        <v>690</v>
      </c>
      <c r="O155" s="716"/>
      <c r="P155" s="716"/>
      <c r="Q155" s="716"/>
      <c r="R155" s="716"/>
      <c r="S155" s="716"/>
      <c r="T155" s="717"/>
      <c r="U155" s="716"/>
      <c r="V155" s="716"/>
      <c r="W155" s="716"/>
      <c r="X155" s="716"/>
      <c r="Y155" s="716"/>
      <c r="Z155" s="716"/>
      <c r="AA155" s="716"/>
      <c r="AB155" s="716"/>
      <c r="AC155" s="716"/>
      <c r="AD155" s="709">
        <f>IF(NFI_Expiration=1,IF($A155&lt;VLOOKUP(I$5,NFI,5,0),1,0)*Data_NFI_t[[#This Row],[Hygiene Kit]],0)</f>
        <v>0</v>
      </c>
      <c r="AE155" s="709">
        <f>IF(NFI_Expiration=1,IF($A155&lt;VLOOKUP(L$5,NFI,5,0),1,0)*Data_NFI_t[[#This Row],[NFI Core Kit]],0)</f>
        <v>0</v>
      </c>
      <c r="AF155" s="710">
        <f>IF(NFI_Expiration=1,IF($A155&lt;VLOOKUP(M$5,NFI,5,0),1,0)*Data_NFI_t[[#This Row],[Sanitary Kit]],0)</f>
        <v>0</v>
      </c>
      <c r="AG155" s="1055">
        <f>IF(NFI_Expiration=1,IF($A155&lt;VLOOKUP(AC$5,NFI,5,0),1,0)*Data_NFI_t[[#This Row],[Rope]],0)</f>
        <v>0</v>
      </c>
      <c r="AH155" s="710">
        <f>IF(NFI_Expiration=1,IF($A155&lt;VLOOKUP(N$5,NFI,5,0),1,0)*Data_NFI_t[[#This Row],[Mosquito net]],0)</f>
        <v>0</v>
      </c>
      <c r="AI155" s="710">
        <f>IF(NFI_Expiration=1,IF($A155&lt;VLOOKUP(O$5,NFI,5,0),1,0)*Data_NFI_t[[#This Row],[Tarpaulin]],0)</f>
        <v>0</v>
      </c>
      <c r="AJ155" s="710">
        <f>IF(NFI_Expiration=1,IF($A155&lt;VLOOKUP(P$5,NFI,5,0),1,0)*Data_NFI_t[[#This Row],[Blanket]],0)</f>
        <v>0</v>
      </c>
      <c r="AK155" s="710">
        <f>IF(NFI_Expiration=1,IF($A155&lt;VLOOKUP(Q$5,NFI,5,0),1,0)*Data_NFI_t[[#This Row],[Kitchen Set]],0)</f>
        <v>0</v>
      </c>
      <c r="AL155" s="710">
        <f>IF(NFI_Expiration=1,IF($A155&lt;VLOOKUP(R$5,NFI,5,0),1,0)*Data_NFI_t[[#This Row],[Complementary Kit]],0)</f>
        <v>0</v>
      </c>
      <c r="AM155" s="710">
        <f>IF(NFI_Expiration=1,IF($A155&lt;VLOOKUP(S$5,NFI,5,0),1,0)*Data_NFI_t[[#This Row],[Plastic Bucket]],0)</f>
        <v>0</v>
      </c>
      <c r="AN155" s="709">
        <f>IF(NFI_Expiration=1,IF($A155&lt;VLOOKUP(T$5,NFI,5,0),1,0)*Data_NFI_t[[#This Row],[Jerry Can]],0)</f>
        <v>0</v>
      </c>
      <c r="AO155" s="709">
        <f>IF(NFI_Expiration=1,IF($A155&lt;VLOOKUP(U$5,NFI,5,0),1,0)*Data_NFI_t[[#This Row],[Plastic Mat]],0)</f>
        <v>0</v>
      </c>
      <c r="AP155" s="709">
        <f>IF(NFI_Expiration=1,IF($A155&lt;VLOOKUP(V$5,NFI,5,0),1,0)*Data_NFI_t[[#This Row],[Adult Clothes]],0)</f>
        <v>0</v>
      </c>
      <c r="AQ155" s="709">
        <f>IF(NFI_Expiration=1,IF($A155&lt;VLOOKUP(W$5,NFI,5,0),1,0)*Data_NFI_t[[#This Row],[Children Clothes]],0)</f>
        <v>0</v>
      </c>
      <c r="AR155" s="709">
        <f>IF(NFI_Expiration=1,IF($A155&lt;VLOOKUP(X$5,NFI,5,0),1,0)*Data_NFI_t[[#This Row],[Sewing Kit]],0)</f>
        <v>0</v>
      </c>
      <c r="AS155" s="709">
        <f>IF(NFI_Expiration=1,IF($A155&lt;VLOOKUP(X$5,NFI,5,0),1,0)*Data_NFI_t[[#This Row],[Solar Lantern]],0)</f>
        <v>0</v>
      </c>
      <c r="AT155" s="105" t="str">
        <f ca="1">IFERROR(OFFSET(Camp_List[P_Code],MATCH(Data_NFI_t[[#This Row],[Camp Name]],Camp_List[Camp Name],0)-1,0,1,1),"")</f>
        <v>MMR012CMP014</v>
      </c>
      <c r="AU155" s="412" t="str">
        <f ca="1">IFERROR(OFFSET(Camp_List[Status],MATCH(Data_NFI_t[[#This Row],[Camp Name]],Camp_List[Camp Name],0)-1,0,1,1),"")</f>
        <v>Open</v>
      </c>
      <c r="AV155" s="724" t="s">
        <v>1033</v>
      </c>
      <c r="AY155" s="648"/>
    </row>
    <row r="156" spans="1:51" s="43" customFormat="1" ht="17.25" customHeight="1" x14ac:dyDescent="0.25">
      <c r="A156" s="711">
        <f t="shared" si="4"/>
        <v>22.666666666666668</v>
      </c>
      <c r="B156" s="712">
        <f>YEAR(Data_NFI_t[[#This Row],[Distribution Date]])</f>
        <v>2017</v>
      </c>
      <c r="C156" s="904">
        <v>42754</v>
      </c>
      <c r="D156" s="708" t="s">
        <v>1028</v>
      </c>
      <c r="E156" s="708" t="s">
        <v>1028</v>
      </c>
      <c r="F156" s="708" t="s">
        <v>7</v>
      </c>
      <c r="G156" s="713" t="s">
        <v>17</v>
      </c>
      <c r="H156" s="713" t="s">
        <v>587</v>
      </c>
      <c r="I156" s="714"/>
      <c r="J156" s="819">
        <v>350</v>
      </c>
      <c r="K156" s="819">
        <v>1925</v>
      </c>
      <c r="L156" s="715">
        <v>350</v>
      </c>
      <c r="M156" s="715"/>
      <c r="N156" s="716"/>
      <c r="O156" s="716"/>
      <c r="P156" s="716"/>
      <c r="Q156" s="716"/>
      <c r="R156" s="716"/>
      <c r="S156" s="716"/>
      <c r="T156" s="717"/>
      <c r="U156" s="716"/>
      <c r="V156" s="716"/>
      <c r="W156" s="716"/>
      <c r="X156" s="716"/>
      <c r="Y156" s="716"/>
      <c r="Z156" s="716"/>
      <c r="AA156" s="716"/>
      <c r="AB156" s="716"/>
      <c r="AC156" s="716"/>
      <c r="AD156" s="709">
        <f>IF(NFI_Expiration=1,IF($A156&lt;VLOOKUP(I$5,NFI,5,0),1,0)*Data_NFI_t[[#This Row],[Hygiene Kit]],0)</f>
        <v>0</v>
      </c>
      <c r="AE156" s="709">
        <f>IF(NFI_Expiration=1,IF($A156&lt;VLOOKUP(L$5,NFI,5,0),1,0)*Data_NFI_t[[#This Row],[NFI Core Kit]],0)</f>
        <v>0</v>
      </c>
      <c r="AF156" s="710">
        <f>IF(NFI_Expiration=1,IF($A156&lt;VLOOKUP(M$5,NFI,5,0),1,0)*Data_NFI_t[[#This Row],[Sanitary Kit]],0)</f>
        <v>0</v>
      </c>
      <c r="AG156" s="1055">
        <f>IF(NFI_Expiration=1,IF($A156&lt;VLOOKUP(AC$5,NFI,5,0),1,0)*Data_NFI_t[[#This Row],[Rope]],0)</f>
        <v>0</v>
      </c>
      <c r="AH156" s="710">
        <f>IF(NFI_Expiration=1,IF($A156&lt;VLOOKUP(N$5,NFI,5,0),1,0)*Data_NFI_t[[#This Row],[Mosquito net]],0)</f>
        <v>0</v>
      </c>
      <c r="AI156" s="710">
        <f>IF(NFI_Expiration=1,IF($A156&lt;VLOOKUP(O$5,NFI,5,0),1,0)*Data_NFI_t[[#This Row],[Tarpaulin]],0)</f>
        <v>0</v>
      </c>
      <c r="AJ156" s="710">
        <f>IF(NFI_Expiration=1,IF($A156&lt;VLOOKUP(P$5,NFI,5,0),1,0)*Data_NFI_t[[#This Row],[Blanket]],0)</f>
        <v>0</v>
      </c>
      <c r="AK156" s="710">
        <f>IF(NFI_Expiration=1,IF($A156&lt;VLOOKUP(Q$5,NFI,5,0),1,0)*Data_NFI_t[[#This Row],[Kitchen Set]],0)</f>
        <v>0</v>
      </c>
      <c r="AL156" s="710">
        <f>IF(NFI_Expiration=1,IF($A156&lt;VLOOKUP(R$5,NFI,5,0),1,0)*Data_NFI_t[[#This Row],[Complementary Kit]],0)</f>
        <v>0</v>
      </c>
      <c r="AM156" s="710">
        <f>IF(NFI_Expiration=1,IF($A156&lt;VLOOKUP(S$5,NFI,5,0),1,0)*Data_NFI_t[[#This Row],[Plastic Bucket]],0)</f>
        <v>0</v>
      </c>
      <c r="AN156" s="709">
        <f>IF(NFI_Expiration=1,IF($A156&lt;VLOOKUP(T$5,NFI,5,0),1,0)*Data_NFI_t[[#This Row],[Jerry Can]],0)</f>
        <v>0</v>
      </c>
      <c r="AO156" s="709">
        <f>IF(NFI_Expiration=1,IF($A156&lt;VLOOKUP(U$5,NFI,5,0),1,0)*Data_NFI_t[[#This Row],[Plastic Mat]],0)</f>
        <v>0</v>
      </c>
      <c r="AP156" s="709">
        <f>IF(NFI_Expiration=1,IF($A156&lt;VLOOKUP(V$5,NFI,5,0),1,0)*Data_NFI_t[[#This Row],[Adult Clothes]],0)</f>
        <v>0</v>
      </c>
      <c r="AQ156" s="709">
        <f>IF(NFI_Expiration=1,IF($A156&lt;VLOOKUP(W$5,NFI,5,0),1,0)*Data_NFI_t[[#This Row],[Children Clothes]],0)</f>
        <v>0</v>
      </c>
      <c r="AR156" s="709">
        <f>IF(NFI_Expiration=1,IF($A156&lt;VLOOKUP(X$5,NFI,5,0),1,0)*Data_NFI_t[[#This Row],[Sewing Kit]],0)</f>
        <v>0</v>
      </c>
      <c r="AS156" s="709">
        <f>IF(NFI_Expiration=1,IF($A156&lt;VLOOKUP(X$5,NFI,5,0),1,0)*Data_NFI_t[[#This Row],[Solar Lantern]],0)</f>
        <v>0</v>
      </c>
      <c r="AT156" s="105" t="str">
        <f ca="1">IFERROR(OFFSET(Camp_List[P_Code],MATCH(Data_NFI_t[[#This Row],[Camp Name]],Camp_List[Camp Name],0)-1,0,1,1),"")</f>
        <v>MMR012CMP116</v>
      </c>
      <c r="AU156" s="412" t="str">
        <f ca="1">IFERROR(OFFSET(Camp_List[Status],MATCH(Data_NFI_t[[#This Row],[Camp Name]],Camp_List[Camp Name],0)-1,0,1,1),"")</f>
        <v>Open</v>
      </c>
      <c r="AV156" s="724" t="s">
        <v>1030</v>
      </c>
      <c r="AY156" s="648"/>
    </row>
    <row r="157" spans="1:51" s="43" customFormat="1" ht="17.25" customHeight="1" x14ac:dyDescent="0.25">
      <c r="A157" s="711">
        <f t="shared" si="4"/>
        <v>22.666666666666668</v>
      </c>
      <c r="B157" s="712">
        <f>YEAR(Data_NFI_t[[#This Row],[Distribution Date]])</f>
        <v>2017</v>
      </c>
      <c r="C157" s="904">
        <v>42754</v>
      </c>
      <c r="D157" s="708" t="s">
        <v>1037</v>
      </c>
      <c r="E157" s="708" t="s">
        <v>575</v>
      </c>
      <c r="F157" s="708" t="s">
        <v>7</v>
      </c>
      <c r="G157" s="713" t="s">
        <v>17</v>
      </c>
      <c r="H157" s="713" t="s">
        <v>587</v>
      </c>
      <c r="I157" s="714"/>
      <c r="J157" s="819"/>
      <c r="K157" s="819">
        <v>2224</v>
      </c>
      <c r="L157" s="715"/>
      <c r="M157" s="715"/>
      <c r="N157" s="716"/>
      <c r="O157" s="716"/>
      <c r="P157" s="716"/>
      <c r="Q157" s="716"/>
      <c r="R157" s="716"/>
      <c r="S157" s="716"/>
      <c r="T157" s="717"/>
      <c r="U157" s="716"/>
      <c r="V157" s="812">
        <v>2237</v>
      </c>
      <c r="W157" s="812"/>
      <c r="X157" s="716"/>
      <c r="Y157" s="716"/>
      <c r="Z157" s="716"/>
      <c r="AA157" s="716"/>
      <c r="AB157" s="716"/>
      <c r="AC157" s="716"/>
      <c r="AD157" s="709">
        <f>IF(NFI_Expiration=1,IF($A157&lt;VLOOKUP(I$5,NFI,5,0),1,0)*Data_NFI_t[[#This Row],[Hygiene Kit]],0)</f>
        <v>0</v>
      </c>
      <c r="AE157" s="709">
        <f>IF(NFI_Expiration=1,IF($A157&lt;VLOOKUP(L$5,NFI,5,0),1,0)*Data_NFI_t[[#This Row],[NFI Core Kit]],0)</f>
        <v>0</v>
      </c>
      <c r="AF157" s="710">
        <f>IF(NFI_Expiration=1,IF($A157&lt;VLOOKUP(M$5,NFI,5,0),1,0)*Data_NFI_t[[#This Row],[Sanitary Kit]],0)</f>
        <v>0</v>
      </c>
      <c r="AG157" s="1055">
        <f>IF(NFI_Expiration=1,IF($A157&lt;VLOOKUP(AC$5,NFI,5,0),1,0)*Data_NFI_t[[#This Row],[Rope]],0)</f>
        <v>0</v>
      </c>
      <c r="AH157" s="710">
        <f>IF(NFI_Expiration=1,IF($A157&lt;VLOOKUP(N$5,NFI,5,0),1,0)*Data_NFI_t[[#This Row],[Mosquito net]],0)</f>
        <v>0</v>
      </c>
      <c r="AI157" s="710">
        <f>IF(NFI_Expiration=1,IF($A157&lt;VLOOKUP(O$5,NFI,5,0),1,0)*Data_NFI_t[[#This Row],[Tarpaulin]],0)</f>
        <v>0</v>
      </c>
      <c r="AJ157" s="710">
        <f>IF(NFI_Expiration=1,IF($A157&lt;VLOOKUP(P$5,NFI,5,0),1,0)*Data_NFI_t[[#This Row],[Blanket]],0)</f>
        <v>0</v>
      </c>
      <c r="AK157" s="710">
        <f>IF(NFI_Expiration=1,IF($A157&lt;VLOOKUP(Q$5,NFI,5,0),1,0)*Data_NFI_t[[#This Row],[Kitchen Set]],0)</f>
        <v>0</v>
      </c>
      <c r="AL157" s="710">
        <f>IF(NFI_Expiration=1,IF($A157&lt;VLOOKUP(R$5,NFI,5,0),1,0)*Data_NFI_t[[#This Row],[Complementary Kit]],0)</f>
        <v>0</v>
      </c>
      <c r="AM157" s="710">
        <f>IF(NFI_Expiration=1,IF($A157&lt;VLOOKUP(S$5,NFI,5,0),1,0)*Data_NFI_t[[#This Row],[Plastic Bucket]],0)</f>
        <v>0</v>
      </c>
      <c r="AN157" s="709">
        <f>IF(NFI_Expiration=1,IF($A157&lt;VLOOKUP(T$5,NFI,5,0),1,0)*Data_NFI_t[[#This Row],[Jerry Can]],0)</f>
        <v>0</v>
      </c>
      <c r="AO157" s="709">
        <f>IF(NFI_Expiration=1,IF($A157&lt;VLOOKUP(U$5,NFI,5,0),1,0)*Data_NFI_t[[#This Row],[Plastic Mat]],0)</f>
        <v>0</v>
      </c>
      <c r="AP157" s="709">
        <f>IF(NFI_Expiration=1,IF($A157&lt;VLOOKUP(V$5,NFI,5,0),1,0)*Data_NFI_t[[#This Row],[Adult Clothes]],0)</f>
        <v>0</v>
      </c>
      <c r="AQ157" s="709">
        <f>IF(NFI_Expiration=1,IF($A157&lt;VLOOKUP(W$5,NFI,5,0),1,0)*Data_NFI_t[[#This Row],[Children Clothes]],0)</f>
        <v>0</v>
      </c>
      <c r="AR157" s="709">
        <f>IF(NFI_Expiration=1,IF($A157&lt;VLOOKUP(X$5,NFI,5,0),1,0)*Data_NFI_t[[#This Row],[Sewing Kit]],0)</f>
        <v>0</v>
      </c>
      <c r="AS157" s="709">
        <f>IF(NFI_Expiration=1,IF($A157&lt;VLOOKUP(X$5,NFI,5,0),1,0)*Data_NFI_t[[#This Row],[Solar Lantern]],0)</f>
        <v>0</v>
      </c>
      <c r="AT157" s="105" t="str">
        <f ca="1">IFERROR(OFFSET(Camp_List[P_Code],MATCH(Data_NFI_t[[#This Row],[Camp Name]],Camp_List[Camp Name],0)-1,0,1,1),"")</f>
        <v>MMR012CMP116</v>
      </c>
      <c r="AU157" s="412" t="str">
        <f ca="1">IFERROR(OFFSET(Camp_List[Status],MATCH(Data_NFI_t[[#This Row],[Camp Name]],Camp_List[Camp Name],0)-1,0,1,1),"")</f>
        <v>Open</v>
      </c>
      <c r="AV157" s="724" t="s">
        <v>1034</v>
      </c>
      <c r="AY157" s="648"/>
    </row>
    <row r="158" spans="1:51" s="43" customFormat="1" ht="17.25" customHeight="1" x14ac:dyDescent="0.25">
      <c r="A158" s="711">
        <f t="shared" si="4"/>
        <v>22.666666666666668</v>
      </c>
      <c r="B158" s="712">
        <f>YEAR(Data_NFI_t[[#This Row],[Distribution Date]])</f>
        <v>2017</v>
      </c>
      <c r="C158" s="904">
        <v>42754</v>
      </c>
      <c r="D158" s="708" t="s">
        <v>1037</v>
      </c>
      <c r="E158" s="708" t="s">
        <v>904</v>
      </c>
      <c r="F158" s="708" t="s">
        <v>7</v>
      </c>
      <c r="G158" s="713" t="s">
        <v>17</v>
      </c>
      <c r="H158" s="713" t="s">
        <v>68</v>
      </c>
      <c r="I158" s="714"/>
      <c r="J158" s="819"/>
      <c r="K158" s="819">
        <v>992</v>
      </c>
      <c r="L158" s="715"/>
      <c r="M158" s="715"/>
      <c r="N158" s="716"/>
      <c r="O158" s="716"/>
      <c r="P158" s="716"/>
      <c r="Q158" s="716"/>
      <c r="R158" s="716"/>
      <c r="S158" s="716"/>
      <c r="T158" s="717"/>
      <c r="U158" s="716"/>
      <c r="V158" s="809">
        <v>4150</v>
      </c>
      <c r="W158" s="809">
        <v>1900</v>
      </c>
      <c r="X158" s="716"/>
      <c r="Y158" s="716"/>
      <c r="Z158" s="716"/>
      <c r="AA158" s="716"/>
      <c r="AB158" s="716"/>
      <c r="AC158" s="716"/>
      <c r="AD158" s="709">
        <f>IF(NFI_Expiration=1,IF($A158&lt;VLOOKUP(I$5,NFI,5,0),1,0)*Data_NFI_t[[#This Row],[Hygiene Kit]],0)</f>
        <v>0</v>
      </c>
      <c r="AE158" s="709">
        <f>IF(NFI_Expiration=1,IF($A158&lt;VLOOKUP(L$5,NFI,5,0),1,0)*Data_NFI_t[[#This Row],[NFI Core Kit]],0)</f>
        <v>0</v>
      </c>
      <c r="AF158" s="710">
        <f>IF(NFI_Expiration=1,IF($A158&lt;VLOOKUP(M$5,NFI,5,0),1,0)*Data_NFI_t[[#This Row],[Sanitary Kit]],0)</f>
        <v>0</v>
      </c>
      <c r="AG158" s="1055">
        <f>IF(NFI_Expiration=1,IF($A158&lt;VLOOKUP(AC$5,NFI,5,0),1,0)*Data_NFI_t[[#This Row],[Rope]],0)</f>
        <v>0</v>
      </c>
      <c r="AH158" s="710">
        <f>IF(NFI_Expiration=1,IF($A158&lt;VLOOKUP(N$5,NFI,5,0),1,0)*Data_NFI_t[[#This Row],[Mosquito net]],0)</f>
        <v>0</v>
      </c>
      <c r="AI158" s="710">
        <f>IF(NFI_Expiration=1,IF($A158&lt;VLOOKUP(O$5,NFI,5,0),1,0)*Data_NFI_t[[#This Row],[Tarpaulin]],0)</f>
        <v>0</v>
      </c>
      <c r="AJ158" s="710">
        <f>IF(NFI_Expiration=1,IF($A158&lt;VLOOKUP(P$5,NFI,5,0),1,0)*Data_NFI_t[[#This Row],[Blanket]],0)</f>
        <v>0</v>
      </c>
      <c r="AK158" s="710">
        <f>IF(NFI_Expiration=1,IF($A158&lt;VLOOKUP(Q$5,NFI,5,0),1,0)*Data_NFI_t[[#This Row],[Kitchen Set]],0)</f>
        <v>0</v>
      </c>
      <c r="AL158" s="710">
        <f>IF(NFI_Expiration=1,IF($A158&lt;VLOOKUP(R$5,NFI,5,0),1,0)*Data_NFI_t[[#This Row],[Complementary Kit]],0)</f>
        <v>0</v>
      </c>
      <c r="AM158" s="710">
        <f>IF(NFI_Expiration=1,IF($A158&lt;VLOOKUP(S$5,NFI,5,0),1,0)*Data_NFI_t[[#This Row],[Plastic Bucket]],0)</f>
        <v>0</v>
      </c>
      <c r="AN158" s="709">
        <f>IF(NFI_Expiration=1,IF($A158&lt;VLOOKUP(T$5,NFI,5,0),1,0)*Data_NFI_t[[#This Row],[Jerry Can]],0)</f>
        <v>0</v>
      </c>
      <c r="AO158" s="709">
        <f>IF(NFI_Expiration=1,IF($A158&lt;VLOOKUP(U$5,NFI,5,0),1,0)*Data_NFI_t[[#This Row],[Plastic Mat]],0)</f>
        <v>0</v>
      </c>
      <c r="AP158" s="709">
        <f>IF(NFI_Expiration=1,IF($A158&lt;VLOOKUP(V$5,NFI,5,0),1,0)*Data_NFI_t[[#This Row],[Adult Clothes]],0)</f>
        <v>0</v>
      </c>
      <c r="AQ158" s="709">
        <f>IF(NFI_Expiration=1,IF($A158&lt;VLOOKUP(W$5,NFI,5,0),1,0)*Data_NFI_t[[#This Row],[Children Clothes]],0)</f>
        <v>0</v>
      </c>
      <c r="AR158" s="709">
        <f>IF(NFI_Expiration=1,IF($A158&lt;VLOOKUP(X$5,NFI,5,0),1,0)*Data_NFI_t[[#This Row],[Sewing Kit]],0)</f>
        <v>0</v>
      </c>
      <c r="AS158" s="709">
        <f>IF(NFI_Expiration=1,IF($A158&lt;VLOOKUP(X$5,NFI,5,0),1,0)*Data_NFI_t[[#This Row],[Solar Lantern]],0)</f>
        <v>0</v>
      </c>
      <c r="AT158" s="105" t="str">
        <f ca="1">IFERROR(OFFSET(Camp_List[P_Code],MATCH(Data_NFI_t[[#This Row],[Camp Name]],Camp_List[Camp Name],0)-1,0,1,1),"")</f>
        <v>MMR012CMP048</v>
      </c>
      <c r="AU158" s="412" t="str">
        <f ca="1">IFERROR(OFFSET(Camp_List[Status],MATCH(Data_NFI_t[[#This Row],[Camp Name]],Camp_List[Camp Name],0)-1,0,1,1),"")</f>
        <v>Open</v>
      </c>
      <c r="AV158" s="724" t="s">
        <v>1034</v>
      </c>
      <c r="AY158" s="648"/>
    </row>
    <row r="159" spans="1:51" s="43" customFormat="1" ht="17.25" customHeight="1" x14ac:dyDescent="0.25">
      <c r="A159" s="711">
        <f t="shared" ref="A159:A222" si="5">IF(ISBLANK(C159),"",(Report_Date-C159)/30)</f>
        <v>22.7</v>
      </c>
      <c r="B159" s="712">
        <f>YEAR(Data_NFI_t[[#This Row],[Distribution Date]])</f>
        <v>2017</v>
      </c>
      <c r="C159" s="904">
        <v>42753</v>
      </c>
      <c r="D159" s="708" t="s">
        <v>1037</v>
      </c>
      <c r="E159" s="708" t="s">
        <v>575</v>
      </c>
      <c r="F159" s="708" t="s">
        <v>7</v>
      </c>
      <c r="G159" s="713" t="s">
        <v>17</v>
      </c>
      <c r="H159" s="713" t="s">
        <v>62</v>
      </c>
      <c r="I159" s="714"/>
      <c r="J159" s="819"/>
      <c r="K159" s="819">
        <v>795</v>
      </c>
      <c r="L159" s="715"/>
      <c r="M159" s="715"/>
      <c r="N159" s="716"/>
      <c r="O159" s="716"/>
      <c r="P159" s="716"/>
      <c r="Q159" s="716"/>
      <c r="R159" s="716"/>
      <c r="S159" s="716"/>
      <c r="T159" s="717"/>
      <c r="U159" s="716"/>
      <c r="V159" s="809">
        <v>1596</v>
      </c>
      <c r="W159" s="812"/>
      <c r="X159" s="716"/>
      <c r="Y159" s="716"/>
      <c r="Z159" s="716"/>
      <c r="AA159" s="716"/>
      <c r="AB159" s="716"/>
      <c r="AC159" s="716"/>
      <c r="AD159" s="709">
        <f>IF(NFI_Expiration=1,IF($A159&lt;VLOOKUP(I$5,NFI,5,0),1,0)*Data_NFI_t[[#This Row],[Hygiene Kit]],0)</f>
        <v>0</v>
      </c>
      <c r="AE159" s="709">
        <f>IF(NFI_Expiration=1,IF($A159&lt;VLOOKUP(L$5,NFI,5,0),1,0)*Data_NFI_t[[#This Row],[NFI Core Kit]],0)</f>
        <v>0</v>
      </c>
      <c r="AF159" s="710">
        <f>IF(NFI_Expiration=1,IF($A159&lt;VLOOKUP(M$5,NFI,5,0),1,0)*Data_NFI_t[[#This Row],[Sanitary Kit]],0)</f>
        <v>0</v>
      </c>
      <c r="AG159" s="1055">
        <f>IF(NFI_Expiration=1,IF($A159&lt;VLOOKUP(AC$5,NFI,5,0),1,0)*Data_NFI_t[[#This Row],[Rope]],0)</f>
        <v>0</v>
      </c>
      <c r="AH159" s="710">
        <f>IF(NFI_Expiration=1,IF($A159&lt;VLOOKUP(N$5,NFI,5,0),1,0)*Data_NFI_t[[#This Row],[Mosquito net]],0)</f>
        <v>0</v>
      </c>
      <c r="AI159" s="710">
        <f>IF(NFI_Expiration=1,IF($A159&lt;VLOOKUP(O$5,NFI,5,0),1,0)*Data_NFI_t[[#This Row],[Tarpaulin]],0)</f>
        <v>0</v>
      </c>
      <c r="AJ159" s="710">
        <f>IF(NFI_Expiration=1,IF($A159&lt;VLOOKUP(P$5,NFI,5,0),1,0)*Data_NFI_t[[#This Row],[Blanket]],0)</f>
        <v>0</v>
      </c>
      <c r="AK159" s="710">
        <f>IF(NFI_Expiration=1,IF($A159&lt;VLOOKUP(Q$5,NFI,5,0),1,0)*Data_NFI_t[[#This Row],[Kitchen Set]],0)</f>
        <v>0</v>
      </c>
      <c r="AL159" s="710">
        <f>IF(NFI_Expiration=1,IF($A159&lt;VLOOKUP(R$5,NFI,5,0),1,0)*Data_NFI_t[[#This Row],[Complementary Kit]],0)</f>
        <v>0</v>
      </c>
      <c r="AM159" s="710">
        <f>IF(NFI_Expiration=1,IF($A159&lt;VLOOKUP(S$5,NFI,5,0),1,0)*Data_NFI_t[[#This Row],[Plastic Bucket]],0)</f>
        <v>0</v>
      </c>
      <c r="AN159" s="709">
        <f>IF(NFI_Expiration=1,IF($A159&lt;VLOOKUP(T$5,NFI,5,0),1,0)*Data_NFI_t[[#This Row],[Jerry Can]],0)</f>
        <v>0</v>
      </c>
      <c r="AO159" s="709">
        <f>IF(NFI_Expiration=1,IF($A159&lt;VLOOKUP(U$5,NFI,5,0),1,0)*Data_NFI_t[[#This Row],[Plastic Mat]],0)</f>
        <v>0</v>
      </c>
      <c r="AP159" s="709">
        <f>IF(NFI_Expiration=1,IF($A159&lt;VLOOKUP(V$5,NFI,5,0),1,0)*Data_NFI_t[[#This Row],[Adult Clothes]],0)</f>
        <v>0</v>
      </c>
      <c r="AQ159" s="709">
        <f>IF(NFI_Expiration=1,IF($A159&lt;VLOOKUP(W$5,NFI,5,0),1,0)*Data_NFI_t[[#This Row],[Children Clothes]],0)</f>
        <v>0</v>
      </c>
      <c r="AR159" s="709">
        <f>IF(NFI_Expiration=1,IF($A159&lt;VLOOKUP(X$5,NFI,5,0),1,0)*Data_NFI_t[[#This Row],[Sewing Kit]],0)</f>
        <v>0</v>
      </c>
      <c r="AS159" s="709">
        <f>IF(NFI_Expiration=1,IF($A159&lt;VLOOKUP(X$5,NFI,5,0),1,0)*Data_NFI_t[[#This Row],[Solar Lantern]],0)</f>
        <v>0</v>
      </c>
      <c r="AT159" s="105" t="str">
        <f ca="1">IFERROR(OFFSET(Camp_List[P_Code],MATCH(Data_NFI_t[[#This Row],[Camp Name]],Camp_List[Camp Name],0)-1,0,1,1),"")</f>
        <v/>
      </c>
      <c r="AU159" s="412" t="str">
        <f ca="1">IFERROR(OFFSET(Camp_List[Status],MATCH(Data_NFI_t[[#This Row],[Camp Name]],Camp_List[Camp Name],0)-1,0,1,1),"")</f>
        <v/>
      </c>
      <c r="AV159" s="724" t="s">
        <v>1034</v>
      </c>
      <c r="AY159" s="648"/>
    </row>
    <row r="160" spans="1:51" s="43" customFormat="1" ht="17.25" customHeight="1" x14ac:dyDescent="0.25">
      <c r="A160" s="711">
        <f t="shared" si="5"/>
        <v>22.7</v>
      </c>
      <c r="B160" s="712">
        <f>YEAR(Data_NFI_t[[#This Row],[Distribution Date]])</f>
        <v>2017</v>
      </c>
      <c r="C160" s="904">
        <v>42753</v>
      </c>
      <c r="D160" s="708" t="s">
        <v>1037</v>
      </c>
      <c r="E160" s="708" t="s">
        <v>575</v>
      </c>
      <c r="F160" s="708" t="s">
        <v>7</v>
      </c>
      <c r="G160" s="713" t="s">
        <v>17</v>
      </c>
      <c r="H160" s="713" t="s">
        <v>59</v>
      </c>
      <c r="I160" s="714"/>
      <c r="J160" s="819"/>
      <c r="K160" s="820">
        <v>398</v>
      </c>
      <c r="L160" s="715"/>
      <c r="M160" s="715"/>
      <c r="N160" s="716"/>
      <c r="O160" s="716"/>
      <c r="P160" s="716"/>
      <c r="Q160" s="716"/>
      <c r="R160" s="716"/>
      <c r="S160" s="716"/>
      <c r="T160" s="717"/>
      <c r="U160" s="716"/>
      <c r="V160" s="812">
        <v>397</v>
      </c>
      <c r="W160" s="812"/>
      <c r="X160" s="716"/>
      <c r="Y160" s="716"/>
      <c r="Z160" s="716"/>
      <c r="AA160" s="716"/>
      <c r="AB160" s="716"/>
      <c r="AC160" s="716"/>
      <c r="AD160" s="709">
        <f>IF(NFI_Expiration=1,IF($A160&lt;VLOOKUP(I$5,NFI,5,0),1,0)*Data_NFI_t[[#This Row],[Hygiene Kit]],0)</f>
        <v>0</v>
      </c>
      <c r="AE160" s="709">
        <f>IF(NFI_Expiration=1,IF($A160&lt;VLOOKUP(L$5,NFI,5,0),1,0)*Data_NFI_t[[#This Row],[NFI Core Kit]],0)</f>
        <v>0</v>
      </c>
      <c r="AF160" s="710">
        <f>IF(NFI_Expiration=1,IF($A160&lt;VLOOKUP(M$5,NFI,5,0),1,0)*Data_NFI_t[[#This Row],[Sanitary Kit]],0)</f>
        <v>0</v>
      </c>
      <c r="AG160" s="1055">
        <f>IF(NFI_Expiration=1,IF($A160&lt;VLOOKUP(AC$5,NFI,5,0),1,0)*Data_NFI_t[[#This Row],[Rope]],0)</f>
        <v>0</v>
      </c>
      <c r="AH160" s="710">
        <f>IF(NFI_Expiration=1,IF($A160&lt;VLOOKUP(N$5,NFI,5,0),1,0)*Data_NFI_t[[#This Row],[Mosquito net]],0)</f>
        <v>0</v>
      </c>
      <c r="AI160" s="710">
        <f>IF(NFI_Expiration=1,IF($A160&lt;VLOOKUP(O$5,NFI,5,0),1,0)*Data_NFI_t[[#This Row],[Tarpaulin]],0)</f>
        <v>0</v>
      </c>
      <c r="AJ160" s="710">
        <f>IF(NFI_Expiration=1,IF($A160&lt;VLOOKUP(P$5,NFI,5,0),1,0)*Data_NFI_t[[#This Row],[Blanket]],0)</f>
        <v>0</v>
      </c>
      <c r="AK160" s="710">
        <f>IF(NFI_Expiration=1,IF($A160&lt;VLOOKUP(Q$5,NFI,5,0),1,0)*Data_NFI_t[[#This Row],[Kitchen Set]],0)</f>
        <v>0</v>
      </c>
      <c r="AL160" s="710">
        <f>IF(NFI_Expiration=1,IF($A160&lt;VLOOKUP(R$5,NFI,5,0),1,0)*Data_NFI_t[[#This Row],[Complementary Kit]],0)</f>
        <v>0</v>
      </c>
      <c r="AM160" s="710">
        <f>IF(NFI_Expiration=1,IF($A160&lt;VLOOKUP(S$5,NFI,5,0),1,0)*Data_NFI_t[[#This Row],[Plastic Bucket]],0)</f>
        <v>0</v>
      </c>
      <c r="AN160" s="709">
        <f>IF(NFI_Expiration=1,IF($A160&lt;VLOOKUP(T$5,NFI,5,0),1,0)*Data_NFI_t[[#This Row],[Jerry Can]],0)</f>
        <v>0</v>
      </c>
      <c r="AO160" s="709">
        <f>IF(NFI_Expiration=1,IF($A160&lt;VLOOKUP(U$5,NFI,5,0),1,0)*Data_NFI_t[[#This Row],[Plastic Mat]],0)</f>
        <v>0</v>
      </c>
      <c r="AP160" s="709">
        <f>IF(NFI_Expiration=1,IF($A160&lt;VLOOKUP(V$5,NFI,5,0),1,0)*Data_NFI_t[[#This Row],[Adult Clothes]],0)</f>
        <v>0</v>
      </c>
      <c r="AQ160" s="709">
        <f>IF(NFI_Expiration=1,IF($A160&lt;VLOOKUP(W$5,NFI,5,0),1,0)*Data_NFI_t[[#This Row],[Children Clothes]],0)</f>
        <v>0</v>
      </c>
      <c r="AR160" s="709">
        <f>IF(NFI_Expiration=1,IF($A160&lt;VLOOKUP(X$5,NFI,5,0),1,0)*Data_NFI_t[[#This Row],[Sewing Kit]],0)</f>
        <v>0</v>
      </c>
      <c r="AS160" s="709">
        <f>IF(NFI_Expiration=1,IF($A160&lt;VLOOKUP(X$5,NFI,5,0),1,0)*Data_NFI_t[[#This Row],[Solar Lantern]],0)</f>
        <v>0</v>
      </c>
      <c r="AT160" s="105" t="str">
        <f ca="1">IFERROR(OFFSET(Camp_List[P_Code],MATCH(Data_NFI_t[[#This Row],[Camp Name]],Camp_List[Camp Name],0)-1,0,1,1),"")</f>
        <v>MMR012CMP039</v>
      </c>
      <c r="AU160" s="412" t="str">
        <f ca="1">IFERROR(OFFSET(Camp_List[Status],MATCH(Data_NFI_t[[#This Row],[Camp Name]],Camp_List[Camp Name],0)-1,0,1,1),"")</f>
        <v>Open</v>
      </c>
      <c r="AV160" s="724" t="s">
        <v>1034</v>
      </c>
      <c r="AY160" s="648"/>
    </row>
    <row r="161" spans="1:51" s="43" customFormat="1" ht="17.25" customHeight="1" x14ac:dyDescent="0.25">
      <c r="A161" s="711">
        <f t="shared" si="5"/>
        <v>22.766666666666666</v>
      </c>
      <c r="B161" s="712">
        <f>YEAR(Data_NFI_t[[#This Row],[Distribution Date]])</f>
        <v>2017</v>
      </c>
      <c r="C161" s="904">
        <v>42751</v>
      </c>
      <c r="D161" s="708" t="s">
        <v>1037</v>
      </c>
      <c r="E161" s="708" t="s">
        <v>904</v>
      </c>
      <c r="F161" s="708" t="s">
        <v>7</v>
      </c>
      <c r="G161" s="713" t="s">
        <v>17</v>
      </c>
      <c r="H161" s="713" t="s">
        <v>580</v>
      </c>
      <c r="I161" s="714"/>
      <c r="J161" s="819"/>
      <c r="K161" s="819">
        <v>624</v>
      </c>
      <c r="L161" s="715"/>
      <c r="M161" s="715"/>
      <c r="N161" s="716"/>
      <c r="O161" s="716"/>
      <c r="P161" s="716"/>
      <c r="Q161" s="716"/>
      <c r="R161" s="716"/>
      <c r="S161" s="716"/>
      <c r="T161" s="717"/>
      <c r="U161" s="716"/>
      <c r="V161" s="810">
        <v>2960</v>
      </c>
      <c r="W161" s="811">
        <v>1383</v>
      </c>
      <c r="X161" s="716"/>
      <c r="Y161" s="716"/>
      <c r="Z161" s="716"/>
      <c r="AA161" s="716"/>
      <c r="AB161" s="716"/>
      <c r="AC161" s="716"/>
      <c r="AD161" s="709">
        <f>IF(NFI_Expiration=1,IF($A161&lt;VLOOKUP(I$5,NFI,5,0),1,0)*Data_NFI_t[[#This Row],[Hygiene Kit]],0)</f>
        <v>0</v>
      </c>
      <c r="AE161" s="709">
        <f>IF(NFI_Expiration=1,IF($A161&lt;VLOOKUP(L$5,NFI,5,0),1,0)*Data_NFI_t[[#This Row],[NFI Core Kit]],0)</f>
        <v>0</v>
      </c>
      <c r="AF161" s="710">
        <f>IF(NFI_Expiration=1,IF($A161&lt;VLOOKUP(M$5,NFI,5,0),1,0)*Data_NFI_t[[#This Row],[Sanitary Kit]],0)</f>
        <v>0</v>
      </c>
      <c r="AG161" s="1055">
        <f>IF(NFI_Expiration=1,IF($A161&lt;VLOOKUP(AC$5,NFI,5,0),1,0)*Data_NFI_t[[#This Row],[Rope]],0)</f>
        <v>0</v>
      </c>
      <c r="AH161" s="710">
        <f>IF(NFI_Expiration=1,IF($A161&lt;VLOOKUP(N$5,NFI,5,0),1,0)*Data_NFI_t[[#This Row],[Mosquito net]],0)</f>
        <v>0</v>
      </c>
      <c r="AI161" s="710">
        <f>IF(NFI_Expiration=1,IF($A161&lt;VLOOKUP(O$5,NFI,5,0),1,0)*Data_NFI_t[[#This Row],[Tarpaulin]],0)</f>
        <v>0</v>
      </c>
      <c r="AJ161" s="710">
        <f>IF(NFI_Expiration=1,IF($A161&lt;VLOOKUP(P$5,NFI,5,0),1,0)*Data_NFI_t[[#This Row],[Blanket]],0)</f>
        <v>0</v>
      </c>
      <c r="AK161" s="710">
        <f>IF(NFI_Expiration=1,IF($A161&lt;VLOOKUP(Q$5,NFI,5,0),1,0)*Data_NFI_t[[#This Row],[Kitchen Set]],0)</f>
        <v>0</v>
      </c>
      <c r="AL161" s="710">
        <f>IF(NFI_Expiration=1,IF($A161&lt;VLOOKUP(R$5,NFI,5,0),1,0)*Data_NFI_t[[#This Row],[Complementary Kit]],0)</f>
        <v>0</v>
      </c>
      <c r="AM161" s="710">
        <f>IF(NFI_Expiration=1,IF($A161&lt;VLOOKUP(S$5,NFI,5,0),1,0)*Data_NFI_t[[#This Row],[Plastic Bucket]],0)</f>
        <v>0</v>
      </c>
      <c r="AN161" s="709">
        <f>IF(NFI_Expiration=1,IF($A161&lt;VLOOKUP(T$5,NFI,5,0),1,0)*Data_NFI_t[[#This Row],[Jerry Can]],0)</f>
        <v>0</v>
      </c>
      <c r="AO161" s="709">
        <f>IF(NFI_Expiration=1,IF($A161&lt;VLOOKUP(U$5,NFI,5,0),1,0)*Data_NFI_t[[#This Row],[Plastic Mat]],0)</f>
        <v>0</v>
      </c>
      <c r="AP161" s="709">
        <f>IF(NFI_Expiration=1,IF($A161&lt;VLOOKUP(V$5,NFI,5,0),1,0)*Data_NFI_t[[#This Row],[Adult Clothes]],0)</f>
        <v>0</v>
      </c>
      <c r="AQ161" s="709">
        <f>IF(NFI_Expiration=1,IF($A161&lt;VLOOKUP(W$5,NFI,5,0),1,0)*Data_NFI_t[[#This Row],[Children Clothes]],0)</f>
        <v>0</v>
      </c>
      <c r="AR161" s="709">
        <f>IF(NFI_Expiration=1,IF($A161&lt;VLOOKUP(X$5,NFI,5,0),1,0)*Data_NFI_t[[#This Row],[Sewing Kit]],0)</f>
        <v>0</v>
      </c>
      <c r="AS161" s="709">
        <f>IF(NFI_Expiration=1,IF($A161&lt;VLOOKUP(X$5,NFI,5,0),1,0)*Data_NFI_t[[#This Row],[Solar Lantern]],0)</f>
        <v>0</v>
      </c>
      <c r="AT161" s="105" t="str">
        <f ca="1">IFERROR(OFFSET(Camp_List[P_Code],MATCH(Data_NFI_t[[#This Row],[Camp Name]],Camp_List[Camp Name],0)-1,0,1,1),"")</f>
        <v>MMR012CMP092</v>
      </c>
      <c r="AU161" s="412" t="str">
        <f ca="1">IFERROR(OFFSET(Camp_List[Status],MATCH(Data_NFI_t[[#This Row],[Camp Name]],Camp_List[Camp Name],0)-1,0,1,1),"")</f>
        <v>Open</v>
      </c>
      <c r="AV161" s="724" t="s">
        <v>1034</v>
      </c>
      <c r="AY161" s="648"/>
    </row>
    <row r="162" spans="1:51" s="43" customFormat="1" ht="17.25" customHeight="1" x14ac:dyDescent="0.25">
      <c r="A162" s="711">
        <f t="shared" si="5"/>
        <v>23.166666666666668</v>
      </c>
      <c r="B162" s="712">
        <f>YEAR(Data_NFI_t[[#This Row],[Distribution Date]])</f>
        <v>2017</v>
      </c>
      <c r="C162" s="904">
        <v>42739</v>
      </c>
      <c r="D162" s="708" t="s">
        <v>658</v>
      </c>
      <c r="E162" s="708" t="s">
        <v>658</v>
      </c>
      <c r="F162" s="708" t="s">
        <v>7</v>
      </c>
      <c r="G162" s="713" t="s">
        <v>814</v>
      </c>
      <c r="H162" s="713" t="s">
        <v>36</v>
      </c>
      <c r="I162" s="714"/>
      <c r="J162" s="819">
        <v>703</v>
      </c>
      <c r="K162" s="819">
        <v>3865</v>
      </c>
      <c r="L162" s="715"/>
      <c r="M162" s="715">
        <v>703</v>
      </c>
      <c r="N162" s="716"/>
      <c r="O162" s="716"/>
      <c r="P162" s="716"/>
      <c r="Q162" s="716"/>
      <c r="R162" s="716"/>
      <c r="S162" s="716"/>
      <c r="T162" s="717"/>
      <c r="U162" s="716"/>
      <c r="V162" s="716"/>
      <c r="W162" s="716"/>
      <c r="X162" s="716"/>
      <c r="Y162" s="716"/>
      <c r="Z162" s="716"/>
      <c r="AA162" s="716"/>
      <c r="AB162" s="716"/>
      <c r="AC162" s="716"/>
      <c r="AD162" s="709">
        <f>IF(NFI_Expiration=1,IF($A162&lt;VLOOKUP(I$5,NFI,5,0),1,0)*Data_NFI_t[[#This Row],[Hygiene Kit]],0)</f>
        <v>0</v>
      </c>
      <c r="AE162" s="709">
        <f>IF(NFI_Expiration=1,IF($A162&lt;VLOOKUP(L$5,NFI,5,0),1,0)*Data_NFI_t[[#This Row],[NFI Core Kit]],0)</f>
        <v>0</v>
      </c>
      <c r="AF162" s="710">
        <f>IF(NFI_Expiration=1,IF($A162&lt;VLOOKUP(M$5,NFI,5,0),1,0)*Data_NFI_t[[#This Row],[Sanitary Kit]],0)</f>
        <v>0</v>
      </c>
      <c r="AG162" s="1055">
        <f>IF(NFI_Expiration=1,IF($A162&lt;VLOOKUP(AC$5,NFI,5,0),1,0)*Data_NFI_t[[#This Row],[Rope]],0)</f>
        <v>0</v>
      </c>
      <c r="AH162" s="710">
        <f>IF(NFI_Expiration=1,IF($A162&lt;VLOOKUP(N$5,NFI,5,0),1,0)*Data_NFI_t[[#This Row],[Mosquito net]],0)</f>
        <v>0</v>
      </c>
      <c r="AI162" s="710">
        <f>IF(NFI_Expiration=1,IF($A162&lt;VLOOKUP(O$5,NFI,5,0),1,0)*Data_NFI_t[[#This Row],[Tarpaulin]],0)</f>
        <v>0</v>
      </c>
      <c r="AJ162" s="710">
        <f>IF(NFI_Expiration=1,IF($A162&lt;VLOOKUP(P$5,NFI,5,0),1,0)*Data_NFI_t[[#This Row],[Blanket]],0)</f>
        <v>0</v>
      </c>
      <c r="AK162" s="710">
        <f>IF(NFI_Expiration=1,IF($A162&lt;VLOOKUP(Q$5,NFI,5,0),1,0)*Data_NFI_t[[#This Row],[Kitchen Set]],0)</f>
        <v>0</v>
      </c>
      <c r="AL162" s="710">
        <f>IF(NFI_Expiration=1,IF($A162&lt;VLOOKUP(R$5,NFI,5,0),1,0)*Data_NFI_t[[#This Row],[Complementary Kit]],0)</f>
        <v>0</v>
      </c>
      <c r="AM162" s="710">
        <f>IF(NFI_Expiration=1,IF($A162&lt;VLOOKUP(S$5,NFI,5,0),1,0)*Data_NFI_t[[#This Row],[Plastic Bucket]],0)</f>
        <v>0</v>
      </c>
      <c r="AN162" s="709">
        <f>IF(NFI_Expiration=1,IF($A162&lt;VLOOKUP(T$5,NFI,5,0),1,0)*Data_NFI_t[[#This Row],[Jerry Can]],0)</f>
        <v>0</v>
      </c>
      <c r="AO162" s="709">
        <f>IF(NFI_Expiration=1,IF($A162&lt;VLOOKUP(U$5,NFI,5,0),1,0)*Data_NFI_t[[#This Row],[Plastic Mat]],0)</f>
        <v>0</v>
      </c>
      <c r="AP162" s="709">
        <f>IF(NFI_Expiration=1,IF($A162&lt;VLOOKUP(V$5,NFI,5,0),1,0)*Data_NFI_t[[#This Row],[Adult Clothes]],0)</f>
        <v>0</v>
      </c>
      <c r="AQ162" s="709">
        <f>IF(NFI_Expiration=1,IF($A162&lt;VLOOKUP(W$5,NFI,5,0),1,0)*Data_NFI_t[[#This Row],[Children Clothes]],0)</f>
        <v>0</v>
      </c>
      <c r="AR162" s="709">
        <f>IF(NFI_Expiration=1,IF($A162&lt;VLOOKUP(X$5,NFI,5,0),1,0)*Data_NFI_t[[#This Row],[Sewing Kit]],0)</f>
        <v>0</v>
      </c>
      <c r="AS162" s="709">
        <f>IF(NFI_Expiration=1,IF($A162&lt;VLOOKUP(X$5,NFI,5,0),1,0)*Data_NFI_t[[#This Row],[Solar Lantern]],0)</f>
        <v>0</v>
      </c>
      <c r="AT162" s="105" t="str">
        <f ca="1">IFERROR(OFFSET(Camp_List[P_Code],MATCH(Data_NFI_t[[#This Row],[Camp Name]],Camp_List[Camp Name],0)-1,0,1,1),"")</f>
        <v>MMR012CMP014</v>
      </c>
      <c r="AU162" s="412" t="str">
        <f ca="1">IFERROR(OFFSET(Camp_List[Status],MATCH(Data_NFI_t[[#This Row],[Camp Name]],Camp_List[Camp Name],0)-1,0,1,1),"")</f>
        <v>Open</v>
      </c>
      <c r="AV162" s="724" t="s">
        <v>1033</v>
      </c>
      <c r="AY162" s="648"/>
    </row>
    <row r="163" spans="1:51" s="43" customFormat="1" ht="19.5" customHeight="1" x14ac:dyDescent="0.25">
      <c r="A163" s="711">
        <f t="shared" si="5"/>
        <v>23.4</v>
      </c>
      <c r="B163" s="712">
        <f>YEAR(Data_NFI_t[[#This Row],[Distribution Date]])</f>
        <v>2016</v>
      </c>
      <c r="C163" s="904">
        <v>42732</v>
      </c>
      <c r="D163" s="708" t="s">
        <v>658</v>
      </c>
      <c r="E163" s="708" t="s">
        <v>658</v>
      </c>
      <c r="F163" s="708" t="s">
        <v>7</v>
      </c>
      <c r="G163" s="713" t="s">
        <v>814</v>
      </c>
      <c r="H163" s="713" t="s">
        <v>36</v>
      </c>
      <c r="I163" s="714"/>
      <c r="J163" s="714"/>
      <c r="K163" s="714"/>
      <c r="L163" s="715"/>
      <c r="M163" s="715"/>
      <c r="N163" s="716"/>
      <c r="O163" s="716"/>
      <c r="P163" s="716"/>
      <c r="Q163" s="716"/>
      <c r="R163" s="716"/>
      <c r="S163" s="716"/>
      <c r="T163" s="717"/>
      <c r="U163" s="716"/>
      <c r="V163" s="716"/>
      <c r="W163" s="716"/>
      <c r="X163" s="716">
        <v>628</v>
      </c>
      <c r="Y163" s="716"/>
      <c r="Z163" s="716"/>
      <c r="AA163" s="716"/>
      <c r="AB163" s="716"/>
      <c r="AC163" s="716"/>
      <c r="AD163" s="709">
        <f>IF(NFI_Expiration=1,IF($A163&lt;VLOOKUP(I$5,NFI,5,0),1,0)*Data_NFI_t[[#This Row],[Hygiene Kit]],0)</f>
        <v>0</v>
      </c>
      <c r="AE163" s="709">
        <f>IF(NFI_Expiration=1,IF($A163&lt;VLOOKUP(L$5,NFI,5,0),1,0)*Data_NFI_t[[#This Row],[NFI Core Kit]],0)</f>
        <v>0</v>
      </c>
      <c r="AF163" s="710">
        <f>IF(NFI_Expiration=1,IF($A163&lt;VLOOKUP(M$5,NFI,5,0),1,0)*Data_NFI_t[[#This Row],[Sanitary Kit]],0)</f>
        <v>0</v>
      </c>
      <c r="AG163" s="1055">
        <f>IF(NFI_Expiration=1,IF($A163&lt;VLOOKUP(AC$5,NFI,5,0),1,0)*Data_NFI_t[[#This Row],[Rope]],0)</f>
        <v>0</v>
      </c>
      <c r="AH163" s="710">
        <f>IF(NFI_Expiration=1,IF($A163&lt;VLOOKUP(N$5,NFI,5,0),1,0)*Data_NFI_t[[#This Row],[Mosquito net]],0)</f>
        <v>0</v>
      </c>
      <c r="AI163" s="710">
        <f>IF(NFI_Expiration=1,IF($A163&lt;VLOOKUP(O$5,NFI,5,0),1,0)*Data_NFI_t[[#This Row],[Tarpaulin]],0)</f>
        <v>0</v>
      </c>
      <c r="AJ163" s="710">
        <f>IF(NFI_Expiration=1,IF($A163&lt;VLOOKUP(P$5,NFI,5,0),1,0)*Data_NFI_t[[#This Row],[Blanket]],0)</f>
        <v>0</v>
      </c>
      <c r="AK163" s="710">
        <f>IF(NFI_Expiration=1,IF($A163&lt;VLOOKUP(Q$5,NFI,5,0),1,0)*Data_NFI_t[[#This Row],[Kitchen Set]],0)</f>
        <v>0</v>
      </c>
      <c r="AL163" s="710">
        <f>IF(NFI_Expiration=1,IF($A163&lt;VLOOKUP(R$5,NFI,5,0),1,0)*Data_NFI_t[[#This Row],[Complementary Kit]],0)</f>
        <v>0</v>
      </c>
      <c r="AM163" s="710">
        <f>IF(NFI_Expiration=1,IF($A163&lt;VLOOKUP(S$5,NFI,5,0),1,0)*Data_NFI_t[[#This Row],[Plastic Bucket]],0)</f>
        <v>0</v>
      </c>
      <c r="AN163" s="709">
        <f>IF(NFI_Expiration=1,IF($A163&lt;VLOOKUP(T$5,NFI,5,0),1,0)*Data_NFI_t[[#This Row],[Jerry Can]],0)</f>
        <v>0</v>
      </c>
      <c r="AO163" s="709">
        <f>IF(NFI_Expiration=1,IF($A163&lt;VLOOKUP(U$5,NFI,5,0),1,0)*Data_NFI_t[[#This Row],[Plastic Mat]],0)</f>
        <v>0</v>
      </c>
      <c r="AP163" s="709">
        <f>IF(NFI_Expiration=1,IF($A163&lt;VLOOKUP(V$5,NFI,5,0),1,0)*Data_NFI_t[[#This Row],[Adult Clothes]],0)</f>
        <v>0</v>
      </c>
      <c r="AQ163" s="709">
        <f>IF(NFI_Expiration=1,IF($A163&lt;VLOOKUP(W$5,NFI,5,0),1,0)*Data_NFI_t[[#This Row],[Children Clothes]],0)</f>
        <v>0</v>
      </c>
      <c r="AR163" s="709">
        <f>IF(NFI_Expiration=1,IF($A163&lt;VLOOKUP(X$5,NFI,5,0),1,0)*Data_NFI_t[[#This Row],[Sewing Kit]],0)</f>
        <v>0</v>
      </c>
      <c r="AS163" s="709">
        <f>IF(NFI_Expiration=1,IF($A163&lt;VLOOKUP(X$5,NFI,5,0),1,0)*Data_NFI_t[[#This Row],[Solar Lantern]],0)</f>
        <v>0</v>
      </c>
      <c r="AT163" s="105" t="str">
        <f ca="1">IFERROR(OFFSET(Camp_List[P_Code],MATCH(Data_NFI_t[[#This Row],[Camp Name]],Camp_List[Camp Name],0)-1,0,1,1),"")</f>
        <v>MMR012CMP014</v>
      </c>
      <c r="AU163" s="412" t="str">
        <f ca="1">IFERROR(OFFSET(Camp_List[Status],MATCH(Data_NFI_t[[#This Row],[Camp Name]],Camp_List[Camp Name],0)-1,0,1,1),"")</f>
        <v>Open</v>
      </c>
      <c r="AV163" s="723"/>
      <c r="AY163" s="648"/>
    </row>
    <row r="164" spans="1:51" s="43" customFormat="1" ht="19.5" customHeight="1" x14ac:dyDescent="0.25">
      <c r="A164" s="711">
        <f t="shared" si="5"/>
        <v>23.466666666666665</v>
      </c>
      <c r="B164" s="712">
        <f>YEAR(Data_NFI_t[[#This Row],[Distribution Date]])</f>
        <v>2016</v>
      </c>
      <c r="C164" s="904">
        <v>42730</v>
      </c>
      <c r="D164" s="708" t="s">
        <v>658</v>
      </c>
      <c r="E164" s="708" t="s">
        <v>658</v>
      </c>
      <c r="F164" s="708" t="s">
        <v>7</v>
      </c>
      <c r="G164" s="713" t="s">
        <v>814</v>
      </c>
      <c r="H164" s="713" t="s">
        <v>36</v>
      </c>
      <c r="I164" s="714"/>
      <c r="J164" s="714"/>
      <c r="K164" s="714"/>
      <c r="L164" s="715"/>
      <c r="M164" s="715"/>
      <c r="N164" s="716"/>
      <c r="O164" s="716"/>
      <c r="P164" s="716"/>
      <c r="Q164" s="716"/>
      <c r="R164" s="716"/>
      <c r="S164" s="716"/>
      <c r="T164" s="717"/>
      <c r="U164" s="716"/>
      <c r="V164" s="716">
        <v>628</v>
      </c>
      <c r="W164" s="716"/>
      <c r="X164" s="716"/>
      <c r="Y164" s="716"/>
      <c r="Z164" s="716"/>
      <c r="AA164" s="716"/>
      <c r="AB164" s="716"/>
      <c r="AC164" s="716"/>
      <c r="AD164" s="709">
        <f>IF(NFI_Expiration=1,IF($A164&lt;VLOOKUP(I$5,NFI,5,0),1,0)*Data_NFI_t[[#This Row],[Hygiene Kit]],0)</f>
        <v>0</v>
      </c>
      <c r="AE164" s="709">
        <f>IF(NFI_Expiration=1,IF($A164&lt;VLOOKUP(L$5,NFI,5,0),1,0)*Data_NFI_t[[#This Row],[NFI Core Kit]],0)</f>
        <v>0</v>
      </c>
      <c r="AF164" s="710">
        <f>IF(NFI_Expiration=1,IF($A164&lt;VLOOKUP(M$5,NFI,5,0),1,0)*Data_NFI_t[[#This Row],[Sanitary Kit]],0)</f>
        <v>0</v>
      </c>
      <c r="AG164" s="1055">
        <f>IF(NFI_Expiration=1,IF($A164&lt;VLOOKUP(AC$5,NFI,5,0),1,0)*Data_NFI_t[[#This Row],[Rope]],0)</f>
        <v>0</v>
      </c>
      <c r="AH164" s="710">
        <f>IF(NFI_Expiration=1,IF($A164&lt;VLOOKUP(N$5,NFI,5,0),1,0)*Data_NFI_t[[#This Row],[Mosquito net]],0)</f>
        <v>0</v>
      </c>
      <c r="AI164" s="710">
        <f>IF(NFI_Expiration=1,IF($A164&lt;VLOOKUP(O$5,NFI,5,0),1,0)*Data_NFI_t[[#This Row],[Tarpaulin]],0)</f>
        <v>0</v>
      </c>
      <c r="AJ164" s="710">
        <f>IF(NFI_Expiration=1,IF($A164&lt;VLOOKUP(P$5,NFI,5,0),1,0)*Data_NFI_t[[#This Row],[Blanket]],0)</f>
        <v>0</v>
      </c>
      <c r="AK164" s="710">
        <f>IF(NFI_Expiration=1,IF($A164&lt;VLOOKUP(Q$5,NFI,5,0),1,0)*Data_NFI_t[[#This Row],[Kitchen Set]],0)</f>
        <v>0</v>
      </c>
      <c r="AL164" s="710">
        <f>IF(NFI_Expiration=1,IF($A164&lt;VLOOKUP(R$5,NFI,5,0),1,0)*Data_NFI_t[[#This Row],[Complementary Kit]],0)</f>
        <v>0</v>
      </c>
      <c r="AM164" s="710">
        <f>IF(NFI_Expiration=1,IF($A164&lt;VLOOKUP(S$5,NFI,5,0),1,0)*Data_NFI_t[[#This Row],[Plastic Bucket]],0)</f>
        <v>0</v>
      </c>
      <c r="AN164" s="709">
        <f>IF(NFI_Expiration=1,IF($A164&lt;VLOOKUP(T$5,NFI,5,0),1,0)*Data_NFI_t[[#This Row],[Jerry Can]],0)</f>
        <v>0</v>
      </c>
      <c r="AO164" s="709">
        <f>IF(NFI_Expiration=1,IF($A164&lt;VLOOKUP(U$5,NFI,5,0),1,0)*Data_NFI_t[[#This Row],[Plastic Mat]],0)</f>
        <v>0</v>
      </c>
      <c r="AP164" s="709">
        <f>IF(NFI_Expiration=1,IF($A164&lt;VLOOKUP(V$5,NFI,5,0),1,0)*Data_NFI_t[[#This Row],[Adult Clothes]],0)</f>
        <v>0</v>
      </c>
      <c r="AQ164" s="709">
        <f>IF(NFI_Expiration=1,IF($A164&lt;VLOOKUP(W$5,NFI,5,0),1,0)*Data_NFI_t[[#This Row],[Children Clothes]],0)</f>
        <v>0</v>
      </c>
      <c r="AR164" s="709">
        <f>IF(NFI_Expiration=1,IF($A164&lt;VLOOKUP(X$5,NFI,5,0),1,0)*Data_NFI_t[[#This Row],[Sewing Kit]],0)</f>
        <v>0</v>
      </c>
      <c r="AS164" s="709">
        <f>IF(NFI_Expiration=1,IF($A164&lt;VLOOKUP(X$5,NFI,5,0),1,0)*Data_NFI_t[[#This Row],[Solar Lantern]],0)</f>
        <v>0</v>
      </c>
      <c r="AT164" s="105" t="str">
        <f ca="1">IFERROR(OFFSET(Camp_List[P_Code],MATCH(Data_NFI_t[[#This Row],[Camp Name]],Camp_List[Camp Name],0)-1,0,1,1),"")</f>
        <v>MMR012CMP014</v>
      </c>
      <c r="AU164" s="412" t="str">
        <f ca="1">IFERROR(OFFSET(Camp_List[Status],MATCH(Data_NFI_t[[#This Row],[Camp Name]],Camp_List[Camp Name],0)-1,0,1,1),"")</f>
        <v>Open</v>
      </c>
      <c r="AV164" s="105"/>
      <c r="AY164" s="648"/>
    </row>
    <row r="165" spans="1:51" s="43" customFormat="1" ht="19.5" customHeight="1" x14ac:dyDescent="0.25">
      <c r="A165" s="711">
        <f t="shared" si="5"/>
        <v>23.566666666666666</v>
      </c>
      <c r="B165" s="712">
        <v>2016</v>
      </c>
      <c r="C165" s="904">
        <v>42727</v>
      </c>
      <c r="D165" s="708" t="s">
        <v>658</v>
      </c>
      <c r="E165" s="708" t="s">
        <v>1017</v>
      </c>
      <c r="F165" s="708" t="s">
        <v>7</v>
      </c>
      <c r="G165" s="713" t="s">
        <v>814</v>
      </c>
      <c r="H165" s="713" t="s">
        <v>36</v>
      </c>
      <c r="I165" s="714"/>
      <c r="J165" s="714"/>
      <c r="K165" s="714"/>
      <c r="L165" s="715"/>
      <c r="M165" s="715"/>
      <c r="N165" s="716"/>
      <c r="O165" s="716"/>
      <c r="P165" s="716">
        <v>703</v>
      </c>
      <c r="Q165" s="716"/>
      <c r="R165" s="716"/>
      <c r="S165" s="716"/>
      <c r="T165" s="717"/>
      <c r="U165" s="716"/>
      <c r="V165" s="716"/>
      <c r="W165" s="716"/>
      <c r="X165" s="716"/>
      <c r="Y165" s="716"/>
      <c r="Z165" s="716"/>
      <c r="AA165" s="716"/>
      <c r="AB165" s="716"/>
      <c r="AC165" s="716"/>
      <c r="AD165" s="709">
        <f>IF(NFI_Expiration=1,IF($A165&lt;VLOOKUP(I$5,NFI,5,0),1,0)*Data_NFI_t[[#This Row],[Hygiene Kit]],0)</f>
        <v>0</v>
      </c>
      <c r="AE165" s="709">
        <f>IF(NFI_Expiration=1,IF($A165&lt;VLOOKUP(L$5,NFI,5,0),1,0)*Data_NFI_t[[#This Row],[NFI Core Kit]],0)</f>
        <v>0</v>
      </c>
      <c r="AF165" s="710">
        <f>IF(NFI_Expiration=1,IF($A165&lt;VLOOKUP(M$5,NFI,5,0),1,0)*Data_NFI_t[[#This Row],[Sanitary Kit]],0)</f>
        <v>0</v>
      </c>
      <c r="AG165" s="1055">
        <f>IF(NFI_Expiration=1,IF($A165&lt;VLOOKUP(AC$5,NFI,5,0),1,0)*Data_NFI_t[[#This Row],[Rope]],0)</f>
        <v>0</v>
      </c>
      <c r="AH165" s="710">
        <f>IF(NFI_Expiration=1,IF($A165&lt;VLOOKUP(N$5,NFI,5,0),1,0)*Data_NFI_t[[#This Row],[Mosquito net]],0)</f>
        <v>0</v>
      </c>
      <c r="AI165" s="710">
        <f>IF(NFI_Expiration=1,IF($A165&lt;VLOOKUP(O$5,NFI,5,0),1,0)*Data_NFI_t[[#This Row],[Tarpaulin]],0)</f>
        <v>0</v>
      </c>
      <c r="AJ165" s="710">
        <f>IF(NFI_Expiration=1,IF($A165&lt;VLOOKUP(P$5,NFI,5,0),1,0)*Data_NFI_t[[#This Row],[Blanket]],0)</f>
        <v>0</v>
      </c>
      <c r="AK165" s="710">
        <f>IF(NFI_Expiration=1,IF($A165&lt;VLOOKUP(Q$5,NFI,5,0),1,0)*Data_NFI_t[[#This Row],[Kitchen Set]],0)</f>
        <v>0</v>
      </c>
      <c r="AL165" s="710">
        <f>IF(NFI_Expiration=1,IF($A165&lt;VLOOKUP(R$5,NFI,5,0),1,0)*Data_NFI_t[[#This Row],[Complementary Kit]],0)</f>
        <v>0</v>
      </c>
      <c r="AM165" s="710">
        <f>IF(NFI_Expiration=1,IF($A165&lt;VLOOKUP(S$5,NFI,5,0),1,0)*Data_NFI_t[[#This Row],[Plastic Bucket]],0)</f>
        <v>0</v>
      </c>
      <c r="AN165" s="709">
        <f>IF(NFI_Expiration=1,IF($A165&lt;VLOOKUP(T$5,NFI,5,0),1,0)*Data_NFI_t[[#This Row],[Jerry Can]],0)</f>
        <v>0</v>
      </c>
      <c r="AO165" s="709">
        <f>IF(NFI_Expiration=1,IF($A165&lt;VLOOKUP(U$5,NFI,5,0),1,0)*Data_NFI_t[[#This Row],[Plastic Mat]],0)</f>
        <v>0</v>
      </c>
      <c r="AP165" s="709">
        <f>IF(NFI_Expiration=1,IF($A165&lt;VLOOKUP(V$5,NFI,5,0),1,0)*Data_NFI_t[[#This Row],[Adult Clothes]],0)</f>
        <v>0</v>
      </c>
      <c r="AQ165" s="709">
        <f>IF(NFI_Expiration=1,IF($A165&lt;VLOOKUP(W$5,NFI,5,0),1,0)*Data_NFI_t[[#This Row],[Children Clothes]],0)</f>
        <v>0</v>
      </c>
      <c r="AR165" s="709">
        <f>IF(NFI_Expiration=1,IF($A165&lt;VLOOKUP(X$5,NFI,5,0),1,0)*Data_NFI_t[[#This Row],[Sewing Kit]],0)</f>
        <v>0</v>
      </c>
      <c r="AS165" s="709">
        <f>IF(NFI_Expiration=1,IF($A165&lt;VLOOKUP(X$5,NFI,5,0),1,0)*Data_NFI_t[[#This Row],[Solar Lantern]],0)</f>
        <v>0</v>
      </c>
      <c r="AT165" s="105" t="str">
        <f ca="1">IFERROR(OFFSET(Camp_List[P_Code],MATCH(Data_NFI_t[[#This Row],[Camp Name]],Camp_List[Camp Name],0)-1,0,1,1),"")</f>
        <v>MMR012CMP014</v>
      </c>
      <c r="AU165" s="412" t="str">
        <f ca="1">IFERROR(OFFSET(Camp_List[Status],MATCH(Data_NFI_t[[#This Row],[Camp Name]],Camp_List[Camp Name],0)-1,0,1,1),"")</f>
        <v>Open</v>
      </c>
      <c r="AV165" s="105"/>
      <c r="AY165" s="648"/>
    </row>
    <row r="166" spans="1:51" s="43" customFormat="1" ht="19.5" customHeight="1" x14ac:dyDescent="0.25">
      <c r="A166" s="711">
        <f t="shared" si="5"/>
        <v>24.033333333333335</v>
      </c>
      <c r="B166" s="712">
        <v>2016</v>
      </c>
      <c r="C166" s="904">
        <v>42713</v>
      </c>
      <c r="D166" s="708" t="s">
        <v>1016</v>
      </c>
      <c r="E166" s="708" t="s">
        <v>1016</v>
      </c>
      <c r="F166" s="708" t="s">
        <v>7</v>
      </c>
      <c r="G166" s="713" t="s">
        <v>13</v>
      </c>
      <c r="H166" s="713" t="s">
        <v>38</v>
      </c>
      <c r="I166" s="714"/>
      <c r="J166" s="714"/>
      <c r="K166" s="714"/>
      <c r="L166" s="715"/>
      <c r="M166" s="715"/>
      <c r="N166" s="716"/>
      <c r="O166" s="716"/>
      <c r="P166" s="716"/>
      <c r="Q166" s="716">
        <v>1228</v>
      </c>
      <c r="R166" s="716"/>
      <c r="S166" s="716"/>
      <c r="T166" s="717"/>
      <c r="U166" s="716"/>
      <c r="V166" s="716"/>
      <c r="W166" s="716"/>
      <c r="X166" s="716"/>
      <c r="Y166" s="716"/>
      <c r="Z166" s="716"/>
      <c r="AA166" s="716"/>
      <c r="AB166" s="716"/>
      <c r="AC166" s="716"/>
      <c r="AD166" s="709">
        <f>IF(NFI_Expiration=1,IF($A166&lt;VLOOKUP(I$5,NFI,5,0),1,0)*Data_NFI_t[[#This Row],[Hygiene Kit]],0)</f>
        <v>0</v>
      </c>
      <c r="AE166" s="709">
        <f>IF(NFI_Expiration=1,IF($A166&lt;VLOOKUP(L$5,NFI,5,0),1,0)*Data_NFI_t[[#This Row],[NFI Core Kit]],0)</f>
        <v>0</v>
      </c>
      <c r="AF166" s="710">
        <f>IF(NFI_Expiration=1,IF($A166&lt;VLOOKUP(M$5,NFI,5,0),1,0)*Data_NFI_t[[#This Row],[Sanitary Kit]],0)</f>
        <v>0</v>
      </c>
      <c r="AG166" s="1055">
        <f>IF(NFI_Expiration=1,IF($A166&lt;VLOOKUP(AC$5,NFI,5,0),1,0)*Data_NFI_t[[#This Row],[Rope]],0)</f>
        <v>0</v>
      </c>
      <c r="AH166" s="710">
        <f>IF(NFI_Expiration=1,IF($A166&lt;VLOOKUP(N$5,NFI,5,0),1,0)*Data_NFI_t[[#This Row],[Mosquito net]],0)</f>
        <v>0</v>
      </c>
      <c r="AI166" s="710">
        <f>IF(NFI_Expiration=1,IF($A166&lt;VLOOKUP(O$5,NFI,5,0),1,0)*Data_NFI_t[[#This Row],[Tarpaulin]],0)</f>
        <v>0</v>
      </c>
      <c r="AJ166" s="710">
        <f>IF(NFI_Expiration=1,IF($A166&lt;VLOOKUP(P$5,NFI,5,0),1,0)*Data_NFI_t[[#This Row],[Blanket]],0)</f>
        <v>0</v>
      </c>
      <c r="AK166" s="710">
        <f>IF(NFI_Expiration=1,IF($A166&lt;VLOOKUP(Q$5,NFI,5,0),1,0)*Data_NFI_t[[#This Row],[Kitchen Set]],0)</f>
        <v>0</v>
      </c>
      <c r="AL166" s="710">
        <f>IF(NFI_Expiration=1,IF($A166&lt;VLOOKUP(R$5,NFI,5,0),1,0)*Data_NFI_t[[#This Row],[Complementary Kit]],0)</f>
        <v>0</v>
      </c>
      <c r="AM166" s="710">
        <f>IF(NFI_Expiration=1,IF($A166&lt;VLOOKUP(S$5,NFI,5,0),1,0)*Data_NFI_t[[#This Row],[Plastic Bucket]],0)</f>
        <v>0</v>
      </c>
      <c r="AN166" s="709">
        <f>IF(NFI_Expiration=1,IF($A166&lt;VLOOKUP(T$5,NFI,5,0),1,0)*Data_NFI_t[[#This Row],[Jerry Can]],0)</f>
        <v>0</v>
      </c>
      <c r="AO166" s="709">
        <f>IF(NFI_Expiration=1,IF($A166&lt;VLOOKUP(U$5,NFI,5,0),1,0)*Data_NFI_t[[#This Row],[Plastic Mat]],0)</f>
        <v>0</v>
      </c>
      <c r="AP166" s="709">
        <f>IF(NFI_Expiration=1,IF($A166&lt;VLOOKUP(V$5,NFI,5,0),1,0)*Data_NFI_t[[#This Row],[Adult Clothes]],0)</f>
        <v>0</v>
      </c>
      <c r="AQ166" s="709">
        <f>IF(NFI_Expiration=1,IF($A166&lt;VLOOKUP(W$5,NFI,5,0),1,0)*Data_NFI_t[[#This Row],[Children Clothes]],0)</f>
        <v>0</v>
      </c>
      <c r="AR166" s="709">
        <f>IF(NFI_Expiration=1,IF($A166&lt;VLOOKUP(X$5,NFI,5,0),1,0)*Data_NFI_t[[#This Row],[Sewing Kit]],0)</f>
        <v>0</v>
      </c>
      <c r="AS166" s="709">
        <f>IF(NFI_Expiration=1,IF($A166&lt;VLOOKUP(X$5,NFI,5,0),1,0)*Data_NFI_t[[#This Row],[Solar Lantern]],0)</f>
        <v>0</v>
      </c>
      <c r="AT166" s="105" t="str">
        <f ca="1">IFERROR(OFFSET(Camp_List[P_Code],MATCH(Data_NFI_t[[#This Row],[Camp Name]],Camp_List[Camp Name],0)-1,0,1,1),"")</f>
        <v>MMR012CMP016</v>
      </c>
      <c r="AU166" s="412" t="str">
        <f ca="1">IFERROR(OFFSET(Camp_List[Status],MATCH(Data_NFI_t[[#This Row],[Camp Name]],Camp_List[Camp Name],0)-1,0,1,1),"")</f>
        <v>Open</v>
      </c>
      <c r="AV166" s="105"/>
      <c r="AY166" s="648"/>
    </row>
    <row r="167" spans="1:51" s="43" customFormat="1" ht="19.5" customHeight="1" x14ac:dyDescent="0.25">
      <c r="A167" s="711">
        <f t="shared" si="5"/>
        <v>24.366666666666667</v>
      </c>
      <c r="B167" s="712">
        <v>2016</v>
      </c>
      <c r="C167" s="904">
        <v>42703</v>
      </c>
      <c r="D167" s="708" t="s">
        <v>1016</v>
      </c>
      <c r="E167" s="708" t="s">
        <v>1016</v>
      </c>
      <c r="F167" s="708" t="s">
        <v>7</v>
      </c>
      <c r="G167" s="713" t="s">
        <v>17</v>
      </c>
      <c r="H167" s="713" t="s">
        <v>66</v>
      </c>
      <c r="I167" s="714"/>
      <c r="J167" s="714"/>
      <c r="K167" s="714"/>
      <c r="L167" s="715"/>
      <c r="M167" s="715"/>
      <c r="N167" s="716"/>
      <c r="O167" s="716"/>
      <c r="P167" s="716"/>
      <c r="Q167" s="716"/>
      <c r="R167" s="716"/>
      <c r="S167" s="716"/>
      <c r="T167" s="717">
        <v>985</v>
      </c>
      <c r="U167" s="716"/>
      <c r="V167" s="716"/>
      <c r="W167" s="716"/>
      <c r="X167" s="716"/>
      <c r="Y167" s="716"/>
      <c r="Z167" s="716"/>
      <c r="AA167" s="716"/>
      <c r="AB167" s="716"/>
      <c r="AC167" s="716"/>
      <c r="AD167" s="709">
        <f>IF(NFI_Expiration=1,IF($A167&lt;VLOOKUP(I$5,NFI,5,0),1,0)*Data_NFI_t[[#This Row],[Hygiene Kit]],0)</f>
        <v>0</v>
      </c>
      <c r="AE167" s="709">
        <f>IF(NFI_Expiration=1,IF($A167&lt;VLOOKUP(L$5,NFI,5,0),1,0)*Data_NFI_t[[#This Row],[NFI Core Kit]],0)</f>
        <v>0</v>
      </c>
      <c r="AF167" s="710">
        <f>IF(NFI_Expiration=1,IF($A167&lt;VLOOKUP(M$5,NFI,5,0),1,0)*Data_NFI_t[[#This Row],[Sanitary Kit]],0)</f>
        <v>0</v>
      </c>
      <c r="AG167" s="1055">
        <f>IF(NFI_Expiration=1,IF($A167&lt;VLOOKUP(AC$5,NFI,5,0),1,0)*Data_NFI_t[[#This Row],[Rope]],0)</f>
        <v>0</v>
      </c>
      <c r="AH167" s="710">
        <f>IF(NFI_Expiration=1,IF($A167&lt;VLOOKUP(N$5,NFI,5,0),1,0)*Data_NFI_t[[#This Row],[Mosquito net]],0)</f>
        <v>0</v>
      </c>
      <c r="AI167" s="710">
        <f>IF(NFI_Expiration=1,IF($A167&lt;VLOOKUP(O$5,NFI,5,0),1,0)*Data_NFI_t[[#This Row],[Tarpaulin]],0)</f>
        <v>0</v>
      </c>
      <c r="AJ167" s="710">
        <f>IF(NFI_Expiration=1,IF($A167&lt;VLOOKUP(P$5,NFI,5,0),1,0)*Data_NFI_t[[#This Row],[Blanket]],0)</f>
        <v>0</v>
      </c>
      <c r="AK167" s="710">
        <f>IF(NFI_Expiration=1,IF($A167&lt;VLOOKUP(Q$5,NFI,5,0),1,0)*Data_NFI_t[[#This Row],[Kitchen Set]],0)</f>
        <v>0</v>
      </c>
      <c r="AL167" s="710">
        <f>IF(NFI_Expiration=1,IF($A167&lt;VLOOKUP(R$5,NFI,5,0),1,0)*Data_NFI_t[[#This Row],[Complementary Kit]],0)</f>
        <v>0</v>
      </c>
      <c r="AM167" s="710">
        <f>IF(NFI_Expiration=1,IF($A167&lt;VLOOKUP(S$5,NFI,5,0),1,0)*Data_NFI_t[[#This Row],[Plastic Bucket]],0)</f>
        <v>0</v>
      </c>
      <c r="AN167" s="709">
        <f>IF(NFI_Expiration=1,IF($A167&lt;VLOOKUP(T$5,NFI,5,0),1,0)*Data_NFI_t[[#This Row],[Jerry Can]],0)</f>
        <v>0</v>
      </c>
      <c r="AO167" s="709">
        <f>IF(NFI_Expiration=1,IF($A167&lt;VLOOKUP(U$5,NFI,5,0),1,0)*Data_NFI_t[[#This Row],[Plastic Mat]],0)</f>
        <v>0</v>
      </c>
      <c r="AP167" s="709">
        <f>IF(NFI_Expiration=1,IF($A167&lt;VLOOKUP(V$5,NFI,5,0),1,0)*Data_NFI_t[[#This Row],[Adult Clothes]],0)</f>
        <v>0</v>
      </c>
      <c r="AQ167" s="709">
        <f>IF(NFI_Expiration=1,IF($A167&lt;VLOOKUP(W$5,NFI,5,0),1,0)*Data_NFI_t[[#This Row],[Children Clothes]],0)</f>
        <v>0</v>
      </c>
      <c r="AR167" s="709">
        <f>IF(NFI_Expiration=1,IF($A167&lt;VLOOKUP(X$5,NFI,5,0),1,0)*Data_NFI_t[[#This Row],[Sewing Kit]],0)</f>
        <v>0</v>
      </c>
      <c r="AS167" s="709">
        <f>IF(NFI_Expiration=1,IF($A167&lt;VLOOKUP(X$5,NFI,5,0),1,0)*Data_NFI_t[[#This Row],[Solar Lantern]],0)</f>
        <v>0</v>
      </c>
      <c r="AT167" s="105" t="str">
        <f ca="1">IFERROR(OFFSET(Camp_List[P_Code],MATCH(Data_NFI_t[[#This Row],[Camp Name]],Camp_List[Camp Name],0)-1,0,1,1),"")</f>
        <v>MMR012CMP046</v>
      </c>
      <c r="AU167" s="412" t="str">
        <f ca="1">IFERROR(OFFSET(Camp_List[Status],MATCH(Data_NFI_t[[#This Row],[Camp Name]],Camp_List[Camp Name],0)-1,0,1,1),"")</f>
        <v>Open</v>
      </c>
      <c r="AV167" s="105"/>
      <c r="AY167" s="648"/>
    </row>
    <row r="168" spans="1:51" s="645" customFormat="1" ht="19.5" customHeight="1" x14ac:dyDescent="0.25">
      <c r="A168" s="419">
        <f t="shared" si="5"/>
        <v>24.5</v>
      </c>
      <c r="B168" s="419">
        <v>2016</v>
      </c>
      <c r="C168" s="696">
        <v>42699</v>
      </c>
      <c r="D168" s="697" t="s">
        <v>904</v>
      </c>
      <c r="E168" s="698" t="s">
        <v>904</v>
      </c>
      <c r="F168" s="697" t="s">
        <v>7</v>
      </c>
      <c r="G168" s="92" t="s">
        <v>17</v>
      </c>
      <c r="H168" s="92" t="s">
        <v>68</v>
      </c>
      <c r="I168" s="92">
        <v>1000</v>
      </c>
      <c r="J168" s="92"/>
      <c r="K168" s="92"/>
      <c r="L168" s="93">
        <v>32</v>
      </c>
      <c r="M168" s="93"/>
      <c r="N168" s="93">
        <v>32</v>
      </c>
      <c r="O168" s="93"/>
      <c r="P168" s="93">
        <v>64</v>
      </c>
      <c r="Q168" s="93"/>
      <c r="R168" s="93"/>
      <c r="S168" s="93">
        <v>64</v>
      </c>
      <c r="T168" s="411">
        <v>64</v>
      </c>
      <c r="U168" s="93">
        <v>64</v>
      </c>
      <c r="V168" s="93"/>
      <c r="W168" s="93"/>
      <c r="X168" s="93"/>
      <c r="Y168" s="93"/>
      <c r="Z168" s="93"/>
      <c r="AA168" s="93"/>
      <c r="AB168" s="93"/>
      <c r="AC168" s="93"/>
      <c r="AD168" s="699">
        <f>IF(NFI_Expiration=1,IF($A168&lt;VLOOKUP(I$5,NFI,5,0),1,0)*Data_NFI_t[[#This Row],[Hygiene Kit]],0)</f>
        <v>0</v>
      </c>
      <c r="AE168" s="699">
        <f>IF(NFI_Expiration=1,IF($A168&lt;VLOOKUP(L$5,NFI,5,0),1,0)*Data_NFI_t[[#This Row],[NFI Core Kit]],0)</f>
        <v>0</v>
      </c>
      <c r="AF168" s="700">
        <f>IF(NFI_Expiration=1,IF($A168&lt;VLOOKUP(M$5,NFI,5,0),1,0)*Data_NFI_t[[#This Row],[Sanitary Kit]],0)</f>
        <v>0</v>
      </c>
      <c r="AG168" s="1055">
        <f>IF(NFI_Expiration=1,IF($A168&lt;VLOOKUP(AC$5,NFI,5,0),1,0)*Data_NFI_t[[#This Row],[Rope]],0)</f>
        <v>0</v>
      </c>
      <c r="AH168" s="700">
        <f>IF(NFI_Expiration=1,IF($A168&lt;VLOOKUP(N$5,NFI,5,0),1,0)*Data_NFI_t[[#This Row],[Mosquito net]],0)</f>
        <v>0</v>
      </c>
      <c r="AI168" s="700">
        <f>IF(NFI_Expiration=1,IF($A168&lt;VLOOKUP(O$5,NFI,5,0),1,0)*Data_NFI_t[[#This Row],[Tarpaulin]],0)</f>
        <v>0</v>
      </c>
      <c r="AJ168" s="700">
        <f>IF(NFI_Expiration=1,IF($A168&lt;VLOOKUP(P$5,NFI,5,0),1,0)*Data_NFI_t[[#This Row],[Blanket]],0)</f>
        <v>0</v>
      </c>
      <c r="AK168" s="700">
        <f>IF(NFI_Expiration=1,IF($A168&lt;VLOOKUP(Q$5,NFI,5,0),1,0)*Data_NFI_t[[#This Row],[Kitchen Set]],0)</f>
        <v>0</v>
      </c>
      <c r="AL168" s="700">
        <f>IF(NFI_Expiration=1,IF($A168&lt;VLOOKUP(R$5,NFI,5,0),1,0)*Data_NFI_t[[#This Row],[Complementary Kit]],0)</f>
        <v>0</v>
      </c>
      <c r="AM168" s="700">
        <f>IF(NFI_Expiration=1,IF($A168&lt;VLOOKUP(S$5,NFI,5,0),1,0)*Data_NFI_t[[#This Row],[Plastic Bucket]],0)</f>
        <v>0</v>
      </c>
      <c r="AN168" s="699">
        <f>IF(NFI_Expiration=1,IF($A168&lt;VLOOKUP(T$5,NFI,5,0),1,0)*Data_NFI_t[[#This Row],[Jerry Can]],0)</f>
        <v>0</v>
      </c>
      <c r="AO168" s="709">
        <f>IF(NFI_Expiration=1,IF($A168&lt;VLOOKUP(U$5,NFI,5,0),1,0)*Data_NFI_t[[#This Row],[Plastic Mat]],0)</f>
        <v>0</v>
      </c>
      <c r="AP168" s="709">
        <f>IF(NFI_Expiration=1,IF($A168&lt;VLOOKUP(V$5,NFI,5,0),1,0)*Data_NFI_t[[#This Row],[Adult Clothes]],0)</f>
        <v>0</v>
      </c>
      <c r="AQ168" s="699">
        <f>IF(NFI_Expiration=1,IF($A168&lt;VLOOKUP(W$5,NFI,5,0),1,0)*Data_NFI_t[[#This Row],[Children Clothes]],0)</f>
        <v>0</v>
      </c>
      <c r="AR168" s="699">
        <f>IF(NFI_Expiration=1,IF($A168&lt;VLOOKUP(X$5,NFI,5,0),1,0)*Data_NFI_t[[#This Row],[Sewing Kit]],0)</f>
        <v>0</v>
      </c>
      <c r="AS168" s="709">
        <f>IF(NFI_Expiration=1,IF($A168&lt;VLOOKUP(X$5,NFI,5,0),1,0)*Data_NFI_t[[#This Row],[Solar Lantern]],0)</f>
        <v>0</v>
      </c>
      <c r="AT168" s="699" t="str">
        <f ca="1">IFERROR(OFFSET(Camp_List[P_Code],MATCH(Data_NFI_t[[#This Row],[Camp Name]],Camp_List[Camp Name],0)-1,0,1,1),"")</f>
        <v>MMR012CMP048</v>
      </c>
      <c r="AU168" s="701" t="str">
        <f ca="1">IFERROR(OFFSET(Camp_List[Status],MATCH(Data_NFI_t[[#This Row],[Camp Name]],Camp_List[Camp Name],0)-1,0,1,1),"")</f>
        <v>Open</v>
      </c>
      <c r="AV168" s="105"/>
    </row>
    <row r="169" spans="1:51" ht="19.5" customHeight="1" x14ac:dyDescent="0.25">
      <c r="A169" s="208">
        <f t="shared" si="5"/>
        <v>24.5</v>
      </c>
      <c r="B169" s="646">
        <v>2016</v>
      </c>
      <c r="C169" s="719">
        <v>42699</v>
      </c>
      <c r="D169" s="646" t="s">
        <v>904</v>
      </c>
      <c r="E169" s="646" t="s">
        <v>904</v>
      </c>
      <c r="F169" s="646" t="s">
        <v>7</v>
      </c>
      <c r="G169" s="646" t="s">
        <v>17</v>
      </c>
      <c r="H169" s="646" t="s">
        <v>580</v>
      </c>
      <c r="I169" s="646"/>
      <c r="J169" s="646"/>
      <c r="K169" s="646"/>
      <c r="L169" s="646">
        <v>624</v>
      </c>
      <c r="M169" s="646">
        <v>656</v>
      </c>
      <c r="N169" s="646">
        <v>1248</v>
      </c>
      <c r="O169" s="646"/>
      <c r="P169" s="646">
        <v>624</v>
      </c>
      <c r="Q169" s="646"/>
      <c r="R169" s="646"/>
      <c r="S169" s="646">
        <v>1248</v>
      </c>
      <c r="T169" s="646">
        <v>1248</v>
      </c>
      <c r="U169" s="646">
        <v>1248</v>
      </c>
      <c r="V169" s="646"/>
      <c r="W169" s="646"/>
      <c r="X169" s="646"/>
      <c r="Y169" s="646"/>
      <c r="Z169" s="646"/>
      <c r="AA169" s="646"/>
      <c r="AB169" s="646"/>
      <c r="AC169" s="646"/>
      <c r="AD169" s="646">
        <f>IF(NFI_Expiration=1,IF($A169&lt;VLOOKUP(I$5,NFI,5,0),1,0)*Data_NFI_t[[#This Row],[Hygiene Kit]],0)</f>
        <v>0</v>
      </c>
      <c r="AE169" s="646">
        <f>IF(NFI_Expiration=1,IF($A169&lt;VLOOKUP(L$5,NFI,5,0),1,0)*Data_NFI_t[[#This Row],[NFI Core Kit]],0)</f>
        <v>0</v>
      </c>
      <c r="AF169" s="646">
        <f>IF(NFI_Expiration=1,IF($A169&lt;VLOOKUP(M$5,NFI,5,0),1,0)*Data_NFI_t[[#This Row],[Sanitary Kit]],0)</f>
        <v>0</v>
      </c>
      <c r="AG169" s="1055">
        <f>IF(NFI_Expiration=1,IF($A169&lt;VLOOKUP(AC$5,NFI,5,0),1,0)*Data_NFI_t[[#This Row],[Rope]],0)</f>
        <v>0</v>
      </c>
      <c r="AH169" s="646">
        <f>IF(NFI_Expiration=1,IF($A169&lt;VLOOKUP(N$5,NFI,5,0),1,0)*Data_NFI_t[[#This Row],[Mosquito net]],0)</f>
        <v>0</v>
      </c>
      <c r="AI169" s="646">
        <f>IF(NFI_Expiration=1,IF($A169&lt;VLOOKUP(O$5,NFI,5,0),1,0)*Data_NFI_t[[#This Row],[Tarpaulin]],0)</f>
        <v>0</v>
      </c>
      <c r="AJ169" s="646">
        <f>IF(NFI_Expiration=1,IF($A169&lt;VLOOKUP(P$5,NFI,5,0),1,0)*Data_NFI_t[[#This Row],[Blanket]],0)</f>
        <v>0</v>
      </c>
      <c r="AK169" s="646">
        <f>IF(NFI_Expiration=1,IF($A169&lt;VLOOKUP(Q$5,NFI,5,0),1,0)*Data_NFI_t[[#This Row],[Kitchen Set]],0)</f>
        <v>0</v>
      </c>
      <c r="AL169" s="646">
        <f>IF(NFI_Expiration=1,IF($A169&lt;VLOOKUP(R$5,NFI,5,0),1,0)*Data_NFI_t[[#This Row],[Complementary Kit]],0)</f>
        <v>0</v>
      </c>
      <c r="AM169" s="646">
        <f>IF(NFI_Expiration=1,IF($A169&lt;VLOOKUP(S$5,NFI,5,0),1,0)*Data_NFI_t[[#This Row],[Plastic Bucket]],0)</f>
        <v>0</v>
      </c>
      <c r="AN169" s="646">
        <f>IF(NFI_Expiration=1,IF($A169&lt;VLOOKUP(T$5,NFI,5,0),1,0)*Data_NFI_t[[#This Row],[Jerry Can]],0)</f>
        <v>0</v>
      </c>
      <c r="AO169" s="709">
        <f>IF(NFI_Expiration=1,IF($A169&lt;VLOOKUP(U$5,NFI,5,0),1,0)*Data_NFI_t[[#This Row],[Plastic Mat]],0)</f>
        <v>0</v>
      </c>
      <c r="AP169" s="709">
        <f>IF(NFI_Expiration=1,IF($A169&lt;VLOOKUP(V$5,NFI,5,0),1,0)*Data_NFI_t[[#This Row],[Adult Clothes]],0)</f>
        <v>0</v>
      </c>
      <c r="AQ169" s="646">
        <f>IF(NFI_Expiration=1,IF($A169&lt;VLOOKUP(W$5,NFI,5,0),1,0)*Data_NFI_t[[#This Row],[Children Clothes]],0)</f>
        <v>0</v>
      </c>
      <c r="AR169" s="646">
        <f>IF(NFI_Expiration=1,IF($A169&lt;VLOOKUP(X$5,NFI,5,0),1,0)*Data_NFI_t[[#This Row],[Sewing Kit]],0)</f>
        <v>0</v>
      </c>
      <c r="AS169" s="709">
        <f>IF(NFI_Expiration=1,IF($A169&lt;VLOOKUP(X$5,NFI,5,0),1,0)*Data_NFI_t[[#This Row],[Solar Lantern]],0)</f>
        <v>0</v>
      </c>
      <c r="AT169" s="646" t="str">
        <f ca="1">IFERROR(OFFSET(Camp_List[P_Code],MATCH(Data_NFI_t[[#This Row],[Camp Name]],Camp_List[Camp Name],0)-1,0,1,1),"")</f>
        <v>MMR012CMP092</v>
      </c>
      <c r="AU169" s="646" t="str">
        <f ca="1">IFERROR(OFFSET(Camp_List[Status],MATCH(Data_NFI_t[[#This Row],[Camp Name]],Camp_List[Camp Name],0)-1,0,1,1),"")</f>
        <v>Open</v>
      </c>
      <c r="AV169" s="105"/>
    </row>
    <row r="170" spans="1:51" s="645" customFormat="1" ht="19.5" customHeight="1" x14ac:dyDescent="0.25">
      <c r="A170" s="208">
        <f t="shared" si="5"/>
        <v>24.8</v>
      </c>
      <c r="B170" s="419">
        <v>2016</v>
      </c>
      <c r="C170" s="719">
        <v>42690</v>
      </c>
      <c r="D170" s="395" t="s">
        <v>658</v>
      </c>
      <c r="E170" s="394" t="s">
        <v>658</v>
      </c>
      <c r="F170" s="395" t="s">
        <v>7</v>
      </c>
      <c r="G170" s="646" t="s">
        <v>814</v>
      </c>
      <c r="H170" s="646" t="s">
        <v>36</v>
      </c>
      <c r="I170" s="646"/>
      <c r="J170" s="646"/>
      <c r="K170" s="646"/>
      <c r="L170" s="42"/>
      <c r="M170" s="42"/>
      <c r="N170" s="93"/>
      <c r="O170" s="93"/>
      <c r="P170" s="93"/>
      <c r="Q170" s="93"/>
      <c r="R170" s="93">
        <v>195</v>
      </c>
      <c r="S170" s="93"/>
      <c r="T170" s="411"/>
      <c r="U170" s="93"/>
      <c r="V170" s="93"/>
      <c r="W170" s="93"/>
      <c r="X170" s="93"/>
      <c r="Y170" s="93"/>
      <c r="Z170" s="93"/>
      <c r="AA170" s="93"/>
      <c r="AB170" s="93"/>
      <c r="AC170" s="93"/>
      <c r="AD170" s="105">
        <f>IF(NFI_Expiration=1,IF($A170&lt;VLOOKUP(I$5,NFI,5,0),1,0)*Data_NFI_t[[#This Row],[Hygiene Kit]],0)</f>
        <v>0</v>
      </c>
      <c r="AE170" s="105">
        <f>IF(NFI_Expiration=1,IF($A170&lt;VLOOKUP(L$5,NFI,5,0),1,0)*Data_NFI_t[[#This Row],[NFI Core Kit]],0)</f>
        <v>0</v>
      </c>
      <c r="AF170" s="86">
        <f>IF(NFI_Expiration=1,IF($A170&lt;VLOOKUP(M$5,NFI,5,0),1,0)*Data_NFI_t[[#This Row],[Sanitary Kit]],0)</f>
        <v>0</v>
      </c>
      <c r="AG170" s="1055">
        <f>IF(NFI_Expiration=1,IF($A170&lt;VLOOKUP(AC$5,NFI,5,0),1,0)*Data_NFI_t[[#This Row],[Rope]],0)</f>
        <v>0</v>
      </c>
      <c r="AH170" s="86">
        <f>IF(NFI_Expiration=1,IF($A170&lt;VLOOKUP(N$5,NFI,5,0),1,0)*Data_NFI_t[[#This Row],[Mosquito net]],0)</f>
        <v>0</v>
      </c>
      <c r="AI170" s="86">
        <f>IF(NFI_Expiration=1,IF($A170&lt;VLOOKUP(O$5,NFI,5,0),1,0)*Data_NFI_t[[#This Row],[Tarpaulin]],0)</f>
        <v>0</v>
      </c>
      <c r="AJ170" s="86">
        <f>IF(NFI_Expiration=1,IF($A170&lt;VLOOKUP(P$5,NFI,5,0),1,0)*Data_NFI_t[[#This Row],[Blanket]],0)</f>
        <v>0</v>
      </c>
      <c r="AK170" s="86">
        <f>IF(NFI_Expiration=1,IF($A170&lt;VLOOKUP(Q$5,NFI,5,0),1,0)*Data_NFI_t[[#This Row],[Kitchen Set]],0)</f>
        <v>0</v>
      </c>
      <c r="AL170" s="86">
        <f>IF(NFI_Expiration=1,IF($A170&lt;VLOOKUP(R$5,NFI,5,0),1,0)*Data_NFI_t[[#This Row],[Complementary Kit]],0)</f>
        <v>0</v>
      </c>
      <c r="AM170" s="86">
        <f>IF(NFI_Expiration=1,IF($A170&lt;VLOOKUP(S$5,NFI,5,0),1,0)*Data_NFI_t[[#This Row],[Plastic Bucket]],0)</f>
        <v>0</v>
      </c>
      <c r="AN170" s="105">
        <f>IF(NFI_Expiration=1,IF($A170&lt;VLOOKUP(T$5,NFI,5,0),1,0)*Data_NFI_t[[#This Row],[Jerry Can]],0)</f>
        <v>0</v>
      </c>
      <c r="AO170" s="709">
        <f>IF(NFI_Expiration=1,IF($A170&lt;VLOOKUP(U$5,NFI,5,0),1,0)*Data_NFI_t[[#This Row],[Plastic Mat]],0)</f>
        <v>0</v>
      </c>
      <c r="AP170" s="709">
        <f>IF(NFI_Expiration=1,IF($A170&lt;VLOOKUP(V$5,NFI,5,0),1,0)*Data_NFI_t[[#This Row],[Adult Clothes]],0)</f>
        <v>0</v>
      </c>
      <c r="AQ170" s="105">
        <f>IF(NFI_Expiration=1,IF($A170&lt;VLOOKUP(W$5,NFI,5,0),1,0)*Data_NFI_t[[#This Row],[Children Clothes]],0)</f>
        <v>0</v>
      </c>
      <c r="AR170" s="105">
        <f>IF(NFI_Expiration=1,IF($A170&lt;VLOOKUP(X$5,NFI,5,0),1,0)*Data_NFI_t[[#This Row],[Sewing Kit]],0)</f>
        <v>0</v>
      </c>
      <c r="AS170" s="709">
        <f>IF(NFI_Expiration=1,IF($A170&lt;VLOOKUP(X$5,NFI,5,0),1,0)*Data_NFI_t[[#This Row],[Solar Lantern]],0)</f>
        <v>0</v>
      </c>
      <c r="AT170" s="105" t="str">
        <f ca="1">IFERROR(OFFSET(Camp_List[P_Code],MATCH(Data_NFI_t[[#This Row],[Camp Name]],Camp_List[Camp Name],0)-1,0,1,1),"")</f>
        <v>MMR012CMP014</v>
      </c>
      <c r="AU170" s="412" t="str">
        <f ca="1">IFERROR(OFFSET(Camp_List[Status],MATCH(Data_NFI_t[[#This Row],[Camp Name]],Camp_List[Camp Name],0)-1,0,1,1),"")</f>
        <v>Open</v>
      </c>
      <c r="AV170" s="105"/>
    </row>
    <row r="171" spans="1:51" s="645" customFormat="1" ht="19.5" customHeight="1" x14ac:dyDescent="0.25">
      <c r="A171" s="208">
        <f t="shared" si="5"/>
        <v>25</v>
      </c>
      <c r="B171" s="419">
        <v>2016</v>
      </c>
      <c r="C171" s="719">
        <v>42684</v>
      </c>
      <c r="D171" s="395" t="s">
        <v>1016</v>
      </c>
      <c r="E171" s="394" t="s">
        <v>1016</v>
      </c>
      <c r="F171" s="395" t="s">
        <v>7</v>
      </c>
      <c r="G171" s="646" t="s">
        <v>13</v>
      </c>
      <c r="H171" s="646" t="s">
        <v>982</v>
      </c>
      <c r="I171" s="646"/>
      <c r="J171" s="646"/>
      <c r="K171" s="646"/>
      <c r="L171" s="42"/>
      <c r="M171" s="42"/>
      <c r="N171" s="93"/>
      <c r="O171" s="93"/>
      <c r="P171" s="93"/>
      <c r="Q171" s="93">
        <v>856</v>
      </c>
      <c r="R171" s="93"/>
      <c r="S171" s="93"/>
      <c r="T171" s="411"/>
      <c r="U171" s="93"/>
      <c r="V171" s="93"/>
      <c r="W171" s="93"/>
      <c r="X171" s="93"/>
      <c r="Y171" s="93"/>
      <c r="Z171" s="93"/>
      <c r="AA171" s="93"/>
      <c r="AB171" s="93"/>
      <c r="AC171" s="93"/>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1055">
        <f>IF(NFI_Expiration=1,IF($A171&lt;VLOOKUP(AC$5,NFI,5,0),1,0)*Data_NFI_t[[#This Row],[Rope]],0)</f>
        <v>0</v>
      </c>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09">
        <f>IF(NFI_Expiration=1,IF($A171&lt;VLOOKUP(U$5,NFI,5,0),1,0)*Data_NFI_t[[#This Row],[Plastic Mat]],0)</f>
        <v>0</v>
      </c>
      <c r="AP171" s="709">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09">
        <f>IF(NFI_Expiration=1,IF($A171&lt;VLOOKUP(X$5,NFI,5,0),1,0)*Data_NFI_t[[#This Row],[Solar Lantern]],0)</f>
        <v>0</v>
      </c>
      <c r="AT171" s="105" t="str">
        <f ca="1">IFERROR(OFFSET(Camp_List[P_Code],MATCH(Data_NFI_t[[#This Row],[Camp Name]],Camp_List[Camp Name],0)-1,0,1,1),"")</f>
        <v>MMR012CMP017</v>
      </c>
      <c r="AU171" s="412" t="str">
        <f ca="1">IFERROR(OFFSET(Camp_List[Status],MATCH(Data_NFI_t[[#This Row],[Camp Name]],Camp_List[Camp Name],0)-1,0,1,1),"")</f>
        <v>Open</v>
      </c>
      <c r="AV171" s="105"/>
    </row>
    <row r="172" spans="1:51" ht="19.5" customHeight="1" x14ac:dyDescent="0.25">
      <c r="A172" s="208">
        <f t="shared" si="5"/>
        <v>25.066666666666666</v>
      </c>
      <c r="B172" s="646">
        <v>2016</v>
      </c>
      <c r="C172" s="719">
        <v>42682</v>
      </c>
      <c r="D172" s="646" t="s">
        <v>658</v>
      </c>
      <c r="E172" s="646" t="s">
        <v>658</v>
      </c>
      <c r="F172" s="646" t="s">
        <v>7</v>
      </c>
      <c r="G172" s="646" t="s">
        <v>814</v>
      </c>
      <c r="H172" s="646" t="s">
        <v>36</v>
      </c>
      <c r="I172" s="646">
        <v>734</v>
      </c>
      <c r="J172" s="646"/>
      <c r="K172" s="646"/>
      <c r="L172" s="646"/>
      <c r="M172" s="646"/>
      <c r="N172" s="646"/>
      <c r="O172" s="646"/>
      <c r="P172" s="646"/>
      <c r="Q172" s="646"/>
      <c r="R172" s="646"/>
      <c r="S172" s="646"/>
      <c r="T172" s="646"/>
      <c r="U172" s="646"/>
      <c r="V172" s="646"/>
      <c r="W172" s="646"/>
      <c r="X172" s="646"/>
      <c r="Y172" s="646"/>
      <c r="Z172" s="646"/>
      <c r="AA172" s="646"/>
      <c r="AB172" s="646"/>
      <c r="AC172" s="646"/>
      <c r="AD172" s="646"/>
      <c r="AE172" s="646"/>
      <c r="AF172" s="646"/>
      <c r="AG172" s="1055">
        <f>IF(NFI_Expiration=1,IF($A172&lt;VLOOKUP(AC$5,NFI,5,0),1,0)*Data_NFI_t[[#This Row],[Rope]],0)</f>
        <v>0</v>
      </c>
      <c r="AH172" s="646"/>
      <c r="AI172" s="646"/>
      <c r="AJ172" s="646"/>
      <c r="AK172" s="646"/>
      <c r="AL172" s="646"/>
      <c r="AM172" s="646"/>
      <c r="AN172" s="646"/>
      <c r="AO172" s="709">
        <f>IF(NFI_Expiration=1,IF($A172&lt;VLOOKUP(U$5,NFI,5,0),1,0)*Data_NFI_t[[#This Row],[Plastic Mat]],0)</f>
        <v>0</v>
      </c>
      <c r="AP172" s="709">
        <f>IF(NFI_Expiration=1,IF($A172&lt;VLOOKUP(V$5,NFI,5,0),1,0)*Data_NFI_t[[#This Row],[Adult Clothes]],0)</f>
        <v>0</v>
      </c>
      <c r="AQ172" s="646">
        <f>IF(NFI_Expiration=1,IF($A172&lt;VLOOKUP(W$5,NFI,5,0),1,0)*Data_NFI_t[[#This Row],[Children Clothes]],0)</f>
        <v>0</v>
      </c>
      <c r="AR172" s="646">
        <f>IF(NFI_Expiration=1,IF($A172&lt;VLOOKUP(X$5,NFI,5,0),1,0)*Data_NFI_t[[#This Row],[Sewing Kit]],0)</f>
        <v>0</v>
      </c>
      <c r="AS172" s="709">
        <f>IF(NFI_Expiration=1,IF($A172&lt;VLOOKUP(X$5,NFI,5,0),1,0)*Data_NFI_t[[#This Row],[Solar Lantern]],0)</f>
        <v>0</v>
      </c>
      <c r="AT172" s="105" t="str">
        <f ca="1">IFERROR(OFFSET(Camp_List[P_Code],MATCH(Data_NFI_t[[#This Row],[Camp Name]],Camp_List[Camp Name],0)-1,0,1,1),"")</f>
        <v>MMR012CMP014</v>
      </c>
      <c r="AU172" s="412" t="str">
        <f ca="1">IFERROR(OFFSET(Camp_List[Status],MATCH(Data_NFI_t[[#This Row],[Camp Name]],Camp_List[Camp Name],0)-1,0,1,1),"")</f>
        <v>Open</v>
      </c>
      <c r="AV172" s="105"/>
    </row>
    <row r="173" spans="1:51" s="645" customFormat="1" ht="19.5" customHeight="1" x14ac:dyDescent="0.25">
      <c r="A173" s="208">
        <f t="shared" si="5"/>
        <v>26.466666666666665</v>
      </c>
      <c r="B173" s="419">
        <f>YEAR(Data_NFI_t[[#This Row],[Distribution Date]])</f>
        <v>2016</v>
      </c>
      <c r="C173" s="719">
        <v>42640</v>
      </c>
      <c r="D173" s="395" t="s">
        <v>904</v>
      </c>
      <c r="E173" s="394" t="s">
        <v>904</v>
      </c>
      <c r="F173" s="395" t="s">
        <v>7</v>
      </c>
      <c r="G173" s="646" t="s">
        <v>17</v>
      </c>
      <c r="H173" s="646" t="s">
        <v>68</v>
      </c>
      <c r="I173" s="646"/>
      <c r="J173" s="646"/>
      <c r="K173" s="646"/>
      <c r="L173" s="42">
        <v>973</v>
      </c>
      <c r="M173" s="42"/>
      <c r="N173" s="93">
        <v>973</v>
      </c>
      <c r="O173" s="93"/>
      <c r="P173" s="93">
        <v>973</v>
      </c>
      <c r="Q173" s="93"/>
      <c r="R173" s="93"/>
      <c r="S173" s="93">
        <v>1964</v>
      </c>
      <c r="T173" s="411">
        <v>1964</v>
      </c>
      <c r="U173" s="93">
        <v>1964</v>
      </c>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55">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09">
        <f>IF(NFI_Expiration=1,IF($A173&lt;VLOOKUP(U$5,NFI,5,0),1,0)*Data_NFI_t[[#This Row],[Plastic Mat]],0)</f>
        <v>0</v>
      </c>
      <c r="AP173" s="709">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09">
        <f>IF(NFI_Expiration=1,IF($A173&lt;VLOOKUP(X$5,NFI,5,0),1,0)*Data_NFI_t[[#This Row],[Solar Lantern]],0)</f>
        <v>0</v>
      </c>
      <c r="AT173" s="105" t="str">
        <f ca="1">IFERROR(OFFSET(Camp_List[P_Code],MATCH(Data_NFI_t[[#This Row],[Camp Name]],Camp_List[Camp Name],0)-1,0,1,1),"")</f>
        <v>MMR012CMP048</v>
      </c>
      <c r="AU173" s="412" t="str">
        <f ca="1">IFERROR(OFFSET(Camp_List[Status],MATCH(Data_NFI_t[[#This Row],[Camp Name]],Camp_List[Camp Name],0)-1,0,1,1),"")</f>
        <v>Open</v>
      </c>
      <c r="AV173" s="105"/>
    </row>
    <row r="174" spans="1:51" s="645" customFormat="1" ht="19.5" customHeight="1" x14ac:dyDescent="0.25">
      <c r="A174" s="208">
        <f t="shared" si="5"/>
        <v>28.233333333333334</v>
      </c>
      <c r="B174" s="419">
        <f>YEAR(Data_NFI_t[[#This Row],[Distribution Date]])</f>
        <v>2016</v>
      </c>
      <c r="C174" s="719">
        <v>42587</v>
      </c>
      <c r="D174" s="395" t="s">
        <v>658</v>
      </c>
      <c r="E174" s="394" t="s">
        <v>658</v>
      </c>
      <c r="F174" s="395" t="s">
        <v>7</v>
      </c>
      <c r="G174" s="646" t="s">
        <v>814</v>
      </c>
      <c r="H174" s="646" t="s">
        <v>36</v>
      </c>
      <c r="I174" s="646">
        <v>703</v>
      </c>
      <c r="J174" s="646"/>
      <c r="K174" s="646"/>
      <c r="L174" s="42"/>
      <c r="M174" s="42"/>
      <c r="N174" s="93"/>
      <c r="O174" s="93"/>
      <c r="P174" s="93"/>
      <c r="Q174" s="93"/>
      <c r="R174" s="93"/>
      <c r="S174" s="93"/>
      <c r="T174" s="411"/>
      <c r="U174" s="93"/>
      <c r="V174" s="93"/>
      <c r="W174" s="93"/>
      <c r="X174" s="93"/>
      <c r="Y174" s="93"/>
      <c r="Z174" s="93"/>
      <c r="AA174" s="93"/>
      <c r="AB174" s="93"/>
      <c r="AC174" s="93"/>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1055">
        <f>IF(NFI_Expiration=1,IF($A174&lt;VLOOKUP(AC$5,NFI,5,0),1,0)*Data_NFI_t[[#This Row],[Rope]],0)</f>
        <v>0</v>
      </c>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09">
        <f>IF(NFI_Expiration=1,IF($A174&lt;VLOOKUP(U$5,NFI,5,0),1,0)*Data_NFI_t[[#This Row],[Plastic Mat]],0)</f>
        <v>0</v>
      </c>
      <c r="AP174" s="709">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09">
        <f>IF(NFI_Expiration=1,IF($A174&lt;VLOOKUP(X$5,NFI,5,0),1,0)*Data_NFI_t[[#This Row],[Solar Lantern]],0)</f>
        <v>0</v>
      </c>
      <c r="AT174" s="105" t="str">
        <f ca="1">IFERROR(OFFSET(Camp_List[P_Code],MATCH(Data_NFI_t[[#This Row],[Camp Name]],Camp_List[Camp Name],0)-1,0,1,1),"")</f>
        <v>MMR012CMP014</v>
      </c>
      <c r="AU174" s="412" t="str">
        <f ca="1">IFERROR(OFFSET(Camp_List[Status],MATCH(Data_NFI_t[[#This Row],[Camp Name]],Camp_List[Camp Name],0)-1,0,1,1),"")</f>
        <v>Open</v>
      </c>
      <c r="AV174" s="105"/>
    </row>
    <row r="175" spans="1:51" s="78" customFormat="1" ht="19.5" customHeight="1" x14ac:dyDescent="0.25">
      <c r="A175" s="208">
        <f t="shared" si="5"/>
        <v>28.233333333333334</v>
      </c>
      <c r="B175" s="419">
        <f>YEAR(Data_NFI_t[[#This Row],[Distribution Date]])</f>
        <v>2016</v>
      </c>
      <c r="C175" s="719">
        <v>42587</v>
      </c>
      <c r="D175" s="395" t="s">
        <v>658</v>
      </c>
      <c r="E175" s="394" t="s">
        <v>658</v>
      </c>
      <c r="F175" s="395" t="s">
        <v>7</v>
      </c>
      <c r="G175" s="646" t="s">
        <v>814</v>
      </c>
      <c r="H175" s="646" t="s">
        <v>35</v>
      </c>
      <c r="I175" s="646">
        <v>40</v>
      </c>
      <c r="J175" s="646"/>
      <c r="K175" s="646"/>
      <c r="L175" s="42"/>
      <c r="M175" s="42"/>
      <c r="N175" s="93"/>
      <c r="O175" s="93"/>
      <c r="P175" s="93"/>
      <c r="Q175" s="93"/>
      <c r="R175" s="93"/>
      <c r="S175" s="93"/>
      <c r="T175" s="411"/>
      <c r="U175" s="93"/>
      <c r="V175" s="93"/>
      <c r="W175" s="93"/>
      <c r="X175" s="93"/>
      <c r="Y175" s="93"/>
      <c r="Z175" s="93"/>
      <c r="AA175" s="93"/>
      <c r="AB175" s="93"/>
      <c r="AC175" s="93"/>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1055">
        <f>IF(NFI_Expiration=1,IF($A175&lt;VLOOKUP(AC$5,NFI,5,0),1,0)*Data_NFI_t[[#This Row],[Rope]],0)</f>
        <v>0</v>
      </c>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09">
        <f>IF(NFI_Expiration=1,IF($A175&lt;VLOOKUP(U$5,NFI,5,0),1,0)*Data_NFI_t[[#This Row],[Plastic Mat]],0)</f>
        <v>0</v>
      </c>
      <c r="AP175" s="709">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09">
        <f>IF(NFI_Expiration=1,IF($A175&lt;VLOOKUP(X$5,NFI,5,0),1,0)*Data_NFI_t[[#This Row],[Solar Lantern]],0)</f>
        <v>0</v>
      </c>
      <c r="AT175" s="105" t="str">
        <f ca="1">IFERROR(OFFSET(Camp_List[P_Code],MATCH(Data_NFI_t[[#This Row],[Camp Name]],Camp_List[Camp Name],0)-1,0,1,1),"")</f>
        <v>MMR012CMP013</v>
      </c>
      <c r="AU175" s="412" t="str">
        <f ca="1">IFERROR(OFFSET(Camp_List[Status],MATCH(Data_NFI_t[[#This Row],[Camp Name]],Camp_List[Camp Name],0)-1,0,1,1),"")</f>
        <v>Relocated</v>
      </c>
      <c r="AV175" s="105"/>
    </row>
    <row r="176" spans="1:51" s="78" customFormat="1" ht="19.5" customHeight="1" x14ac:dyDescent="0.25">
      <c r="A176" s="208">
        <f t="shared" si="5"/>
        <v>29.733333333333334</v>
      </c>
      <c r="B176" s="419">
        <f>YEAR(Data_NFI_t[[#This Row],[Distribution Date]])</f>
        <v>2016</v>
      </c>
      <c r="C176" s="719">
        <v>42542</v>
      </c>
      <c r="D176" s="395" t="s">
        <v>270</v>
      </c>
      <c r="E176" s="394" t="s">
        <v>270</v>
      </c>
      <c r="F176" s="395" t="s">
        <v>7</v>
      </c>
      <c r="G176" s="646" t="s">
        <v>561</v>
      </c>
      <c r="H176" s="646" t="s">
        <v>56</v>
      </c>
      <c r="I176" s="646">
        <v>65</v>
      </c>
      <c r="J176" s="646"/>
      <c r="K176" s="646"/>
      <c r="L176" s="42">
        <v>65</v>
      </c>
      <c r="M176" s="42"/>
      <c r="N176" s="93"/>
      <c r="O176" s="93"/>
      <c r="P176" s="93">
        <v>65</v>
      </c>
      <c r="Q176" s="93"/>
      <c r="R176" s="93"/>
      <c r="S176" s="93"/>
      <c r="T176" s="411"/>
      <c r="U176" s="93"/>
      <c r="V176" s="93"/>
      <c r="W176" s="93"/>
      <c r="X176" s="93"/>
      <c r="Y176" s="93"/>
      <c r="Z176" s="93"/>
      <c r="AA176" s="93"/>
      <c r="AB176" s="93"/>
      <c r="AC176" s="93"/>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55">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09">
        <f>IF(NFI_Expiration=1,IF($A176&lt;VLOOKUP(U$5,NFI,5,0),1,0)*Data_NFI_t[[#This Row],[Plastic Mat]],0)</f>
        <v>0</v>
      </c>
      <c r="AP176" s="709">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09">
        <f>IF(NFI_Expiration=1,IF($A176&lt;VLOOKUP(X$5,NFI,5,0),1,0)*Data_NFI_t[[#This Row],[Solar Lantern]],0)</f>
        <v>0</v>
      </c>
      <c r="AT176" s="105" t="str">
        <f ca="1">IFERROR(OFFSET(Camp_List[P_Code],MATCH(Data_NFI_t[[#This Row],[Camp Name]],Camp_List[Camp Name],0)-1,0,1,1),"")</f>
        <v>MMR012CMP035</v>
      </c>
      <c r="AU176" s="412" t="str">
        <f ca="1">IFERROR(OFFSET(Camp_List[Status],MATCH(Data_NFI_t[[#This Row],[Camp Name]],Camp_List[Camp Name],0)-1,0,1,1),"")</f>
        <v>Open</v>
      </c>
      <c r="AV176" s="105"/>
    </row>
    <row r="177" spans="1:48" s="78" customFormat="1" ht="19.5" customHeight="1" x14ac:dyDescent="0.25">
      <c r="A177" s="208">
        <f t="shared" si="5"/>
        <v>29.766666666666666</v>
      </c>
      <c r="B177" s="419">
        <f>YEAR(Data_NFI_t[[#This Row],[Distribution Date]])</f>
        <v>2016</v>
      </c>
      <c r="C177" s="719">
        <v>42541</v>
      </c>
      <c r="D177" s="395" t="s">
        <v>270</v>
      </c>
      <c r="E177" s="394" t="s">
        <v>270</v>
      </c>
      <c r="F177" s="395" t="s">
        <v>7</v>
      </c>
      <c r="G177" s="646" t="s">
        <v>561</v>
      </c>
      <c r="H177" s="646" t="s">
        <v>441</v>
      </c>
      <c r="I177" s="646"/>
      <c r="J177" s="646"/>
      <c r="K177" s="646"/>
      <c r="L177" s="42">
        <v>427</v>
      </c>
      <c r="M177" s="42"/>
      <c r="N177" s="93"/>
      <c r="O177" s="93"/>
      <c r="P177" s="93">
        <v>854</v>
      </c>
      <c r="Q177" s="93"/>
      <c r="R177" s="93"/>
      <c r="S177" s="93"/>
      <c r="T177" s="411"/>
      <c r="U177" s="93"/>
      <c r="V177" s="93"/>
      <c r="W177" s="93"/>
      <c r="X177" s="93"/>
      <c r="Y177" s="93"/>
      <c r="Z177" s="93"/>
      <c r="AA177" s="93"/>
      <c r="AB177" s="93"/>
      <c r="AC177" s="93"/>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55">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09">
        <f>IF(NFI_Expiration=1,IF($A177&lt;VLOOKUP(U$5,NFI,5,0),1,0)*Data_NFI_t[[#This Row],[Plastic Mat]],0)</f>
        <v>0</v>
      </c>
      <c r="AP177" s="709">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09">
        <f>IF(NFI_Expiration=1,IF($A177&lt;VLOOKUP(X$5,NFI,5,0),1,0)*Data_NFI_t[[#This Row],[Solar Lantern]],0)</f>
        <v>0</v>
      </c>
      <c r="AT177" s="105" t="str">
        <f ca="1">IFERROR(OFFSET(Camp_List[P_Code],MATCH(Data_NFI_t[[#This Row],[Camp Name]],Camp_List[Camp Name],0)-1,0,1,1),"")</f>
        <v>MMR012CMP036</v>
      </c>
      <c r="AU177" s="412" t="str">
        <f ca="1">IFERROR(OFFSET(Camp_List[Status],MATCH(Data_NFI_t[[#This Row],[Camp Name]],Camp_List[Camp Name],0)-1,0,1,1),"")</f>
        <v>Relocated</v>
      </c>
      <c r="AV177" s="105"/>
    </row>
    <row r="178" spans="1:48" s="78" customFormat="1" ht="19.5" customHeight="1" x14ac:dyDescent="0.25">
      <c r="A178" s="208">
        <f t="shared" si="5"/>
        <v>30.466666666666665</v>
      </c>
      <c r="B178" s="419">
        <f>YEAR(Data_NFI_t[[#This Row],[Distribution Date]])</f>
        <v>2016</v>
      </c>
      <c r="C178" s="719">
        <v>42520</v>
      </c>
      <c r="D178" s="395" t="s">
        <v>270</v>
      </c>
      <c r="E178" s="394" t="s">
        <v>575</v>
      </c>
      <c r="F178" s="395" t="s">
        <v>7</v>
      </c>
      <c r="G178" s="646" t="s">
        <v>13</v>
      </c>
      <c r="H178" s="646" t="s">
        <v>38</v>
      </c>
      <c r="I178" s="646"/>
      <c r="J178" s="646"/>
      <c r="K178" s="646"/>
      <c r="L178" s="42"/>
      <c r="M178" s="42"/>
      <c r="N178" s="93"/>
      <c r="O178" s="93">
        <v>60</v>
      </c>
      <c r="P178" s="93"/>
      <c r="Q178" s="93"/>
      <c r="R178" s="93"/>
      <c r="S178" s="93"/>
      <c r="T178" s="411"/>
      <c r="U178" s="93"/>
      <c r="V178" s="93"/>
      <c r="W178" s="93"/>
      <c r="X178" s="93"/>
      <c r="Y178" s="93"/>
      <c r="Z178" s="93"/>
      <c r="AA178" s="93"/>
      <c r="AB178" s="93"/>
      <c r="AC178" s="93"/>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55">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09">
        <f>IF(NFI_Expiration=1,IF($A178&lt;VLOOKUP(U$5,NFI,5,0),1,0)*Data_NFI_t[[#This Row],[Plastic Mat]],0)</f>
        <v>0</v>
      </c>
      <c r="AP178" s="709">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09">
        <f>IF(NFI_Expiration=1,IF($A178&lt;VLOOKUP(X$5,NFI,5,0),1,0)*Data_NFI_t[[#This Row],[Solar Lantern]],0)</f>
        <v>0</v>
      </c>
      <c r="AT178" s="105" t="str">
        <f ca="1">IFERROR(OFFSET(Camp_List[P_Code],MATCH(Data_NFI_t[[#This Row],[Camp Name]],Camp_List[Camp Name],0)-1,0,1,1),"")</f>
        <v>MMR012CMP016</v>
      </c>
      <c r="AU178" s="412" t="str">
        <f ca="1">IFERROR(OFFSET(Camp_List[Status],MATCH(Data_NFI_t[[#This Row],[Camp Name]],Camp_List[Camp Name],0)-1,0,1,1),"")</f>
        <v>Open</v>
      </c>
      <c r="AV178" s="105"/>
    </row>
    <row r="179" spans="1:48" s="78" customFormat="1" ht="19.5" customHeight="1" x14ac:dyDescent="0.25">
      <c r="A179" s="208">
        <f t="shared" si="5"/>
        <v>31.266666666666666</v>
      </c>
      <c r="B179" s="419">
        <v>2016</v>
      </c>
      <c r="C179" s="719">
        <v>42496</v>
      </c>
      <c r="D179" s="395" t="s">
        <v>273</v>
      </c>
      <c r="E179" s="394" t="s">
        <v>273</v>
      </c>
      <c r="F179" s="395" t="s">
        <v>7</v>
      </c>
      <c r="G179" s="646" t="s">
        <v>17</v>
      </c>
      <c r="H179" s="646" t="s">
        <v>582</v>
      </c>
      <c r="I179" s="646"/>
      <c r="J179" s="646"/>
      <c r="K179" s="646"/>
      <c r="L179" s="42"/>
      <c r="M179" s="42">
        <v>424</v>
      </c>
      <c r="N179" s="93"/>
      <c r="O179" s="93">
        <v>424</v>
      </c>
      <c r="P179" s="93"/>
      <c r="Q179" s="93"/>
      <c r="R179" s="93"/>
      <c r="S179" s="93"/>
      <c r="T179" s="411"/>
      <c r="U179" s="93">
        <v>848</v>
      </c>
      <c r="V179" s="93"/>
      <c r="W179" s="93"/>
      <c r="X179" s="93"/>
      <c r="Y179" s="93"/>
      <c r="Z179" s="93"/>
      <c r="AA179" s="93"/>
      <c r="AB179" s="93"/>
      <c r="AC179" s="93"/>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55">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105">
        <f>IF(NFI_Expiration=1,IF($A179&lt;VLOOKUP(T$5,NFI,5,0),1,0)*Data_NFI_t[[#This Row],[Jerry Can]],0)</f>
        <v>0</v>
      </c>
      <c r="AO179" s="709">
        <f>IF(NFI_Expiration=1,IF($A179&lt;VLOOKUP(U$5,NFI,5,0),1,0)*Data_NFI_t[[#This Row],[Plastic Mat]],0)</f>
        <v>0</v>
      </c>
      <c r="AP179" s="709">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09">
        <f>IF(NFI_Expiration=1,IF($A179&lt;VLOOKUP(X$5,NFI,5,0),1,0)*Data_NFI_t[[#This Row],[Solar Lantern]],0)</f>
        <v>0</v>
      </c>
      <c r="AT179" s="105" t="str">
        <f ca="1">IFERROR(OFFSET(Camp_List[P_Code],MATCH(Data_NFI_t[[#This Row],[Camp Name]],Camp_List[Camp Name],0)-1,0,1,1),"")</f>
        <v>MMR012CMP114</v>
      </c>
      <c r="AU179" s="412" t="str">
        <f ca="1">IFERROR(OFFSET(Camp_List[Status],MATCH(Data_NFI_t[[#This Row],[Camp Name]],Camp_List[Camp Name],0)-1,0,1,1),"")</f>
        <v>Open</v>
      </c>
      <c r="AV179" s="105"/>
    </row>
    <row r="180" spans="1:48" s="78" customFormat="1" ht="19.5" customHeight="1" x14ac:dyDescent="0.25">
      <c r="A180" s="208">
        <f t="shared" si="5"/>
        <v>34.333333333333336</v>
      </c>
      <c r="B180" s="419">
        <v>2016</v>
      </c>
      <c r="C180" s="719">
        <v>42404</v>
      </c>
      <c r="D180" s="395" t="s">
        <v>270</v>
      </c>
      <c r="E180" s="394" t="s">
        <v>270</v>
      </c>
      <c r="F180" s="395" t="s">
        <v>7</v>
      </c>
      <c r="G180" s="646" t="s">
        <v>17</v>
      </c>
      <c r="H180" s="646" t="s">
        <v>65</v>
      </c>
      <c r="I180" s="646"/>
      <c r="J180" s="646"/>
      <c r="K180" s="646"/>
      <c r="L180" s="42"/>
      <c r="M180" s="42"/>
      <c r="N180" s="93">
        <v>3630</v>
      </c>
      <c r="O180" s="93">
        <v>1815</v>
      </c>
      <c r="P180" s="93">
        <v>1815</v>
      </c>
      <c r="Q180" s="93">
        <v>1815</v>
      </c>
      <c r="R180" s="93"/>
      <c r="S180" s="93">
        <v>1815</v>
      </c>
      <c r="T180" s="411">
        <v>1815</v>
      </c>
      <c r="U180" s="93">
        <v>9075</v>
      </c>
      <c r="V180" s="93"/>
      <c r="W180" s="93"/>
      <c r="X180" s="93"/>
      <c r="Y180" s="93"/>
      <c r="Z180" s="93"/>
      <c r="AA180" s="93"/>
      <c r="AB180" s="93"/>
      <c r="AC180" s="93"/>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55">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105">
        <f>IF(NFI_Expiration=1,IF($A180&lt;VLOOKUP(T$5,NFI,5,0),1,0)*Data_NFI_t[[#This Row],[Jerry Can]],0)</f>
        <v>0</v>
      </c>
      <c r="AO180" s="709">
        <f>IF(NFI_Expiration=1,IF($A180&lt;VLOOKUP(U$5,NFI,5,0),1,0)*Data_NFI_t[[#This Row],[Plastic Mat]],0)</f>
        <v>0</v>
      </c>
      <c r="AP180" s="709">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09">
        <f>IF(NFI_Expiration=1,IF($A180&lt;VLOOKUP(X$5,NFI,5,0),1,0)*Data_NFI_t[[#This Row],[Solar Lantern]],0)</f>
        <v>0</v>
      </c>
      <c r="AT180" s="105" t="str">
        <f ca="1">IFERROR(OFFSET(Camp_List[P_Code],MATCH(Data_NFI_t[[#This Row],[Camp Name]],Camp_List[Camp Name],0)-1,0,1,1),"")</f>
        <v>MMR012CMP045</v>
      </c>
      <c r="AU180" s="412" t="str">
        <f ca="1">IFERROR(OFFSET(Camp_List[Status],MATCH(Data_NFI_t[[#This Row],[Camp Name]],Camp_List[Camp Name],0)-1,0,1,1),"")</f>
        <v>Open</v>
      </c>
      <c r="AV180" s="105"/>
    </row>
    <row r="181" spans="1:48" s="78" customFormat="1" ht="19.5" customHeight="1" x14ac:dyDescent="0.25">
      <c r="A181" s="208">
        <f t="shared" si="5"/>
        <v>34.533333333333331</v>
      </c>
      <c r="B181" s="208">
        <v>2016</v>
      </c>
      <c r="C181" s="719">
        <v>42398</v>
      </c>
      <c r="D181" s="395" t="s">
        <v>270</v>
      </c>
      <c r="E181" s="394" t="s">
        <v>270</v>
      </c>
      <c r="F181" s="395" t="s">
        <v>7</v>
      </c>
      <c r="G181" s="646" t="s">
        <v>17</v>
      </c>
      <c r="H181" s="646" t="s">
        <v>25</v>
      </c>
      <c r="I181" s="646"/>
      <c r="J181" s="646"/>
      <c r="K181" s="646"/>
      <c r="L181" s="42"/>
      <c r="M181" s="42"/>
      <c r="N181" s="42">
        <v>6</v>
      </c>
      <c r="O181" s="42">
        <v>3</v>
      </c>
      <c r="P181" s="42">
        <v>6</v>
      </c>
      <c r="Q181" s="42">
        <v>3</v>
      </c>
      <c r="R181" s="42"/>
      <c r="S181" s="42">
        <v>3</v>
      </c>
      <c r="T181" s="410">
        <v>3</v>
      </c>
      <c r="U181" s="42">
        <v>15</v>
      </c>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55">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105">
        <f>IF(NFI_Expiration=1,IF($A181&lt;VLOOKUP(T$5,NFI,5,0),1,0)*Data_NFI_t[[#This Row],[Jerry Can]],0)</f>
        <v>0</v>
      </c>
      <c r="AO181" s="709">
        <f>IF(NFI_Expiration=1,IF($A181&lt;VLOOKUP(U$5,NFI,5,0),1,0)*Data_NFI_t[[#This Row],[Plastic Mat]],0)</f>
        <v>0</v>
      </c>
      <c r="AP181" s="709">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09">
        <f>IF(NFI_Expiration=1,IF($A181&lt;VLOOKUP(X$5,NFI,5,0),1,0)*Data_NFI_t[[#This Row],[Solar Lantern]],0)</f>
        <v>0</v>
      </c>
      <c r="AT181" s="105" t="str">
        <f ca="1">IFERROR(OFFSET(Camp_List[P_Code],MATCH(Data_NFI_t[[#This Row],[Camp Name]],Camp_List[Camp Name],0)-1,0,1,1),"")</f>
        <v>MMR012CMP003</v>
      </c>
      <c r="AU181" s="412" t="str">
        <f ca="1">IFERROR(OFFSET(Camp_List[Status],MATCH(Data_NFI_t[[#This Row],[Camp Name]],Camp_List[Camp Name],0)-1,0,1,1),"")</f>
        <v>Returned</v>
      </c>
      <c r="AV181" s="105"/>
    </row>
    <row r="182" spans="1:48" s="78" customFormat="1" ht="19.5" customHeight="1" x14ac:dyDescent="0.25">
      <c r="A182" s="208">
        <f t="shared" si="5"/>
        <v>34.6</v>
      </c>
      <c r="B182" s="208">
        <v>2016</v>
      </c>
      <c r="C182" s="719">
        <v>42396</v>
      </c>
      <c r="D182" s="395" t="s">
        <v>658</v>
      </c>
      <c r="E182" s="394" t="s">
        <v>658</v>
      </c>
      <c r="F182" s="395" t="s">
        <v>7</v>
      </c>
      <c r="G182" s="646" t="s">
        <v>814</v>
      </c>
      <c r="H182" s="646" t="s">
        <v>35</v>
      </c>
      <c r="I182" s="646"/>
      <c r="J182" s="646"/>
      <c r="K182" s="646"/>
      <c r="L182" s="42"/>
      <c r="M182" s="42"/>
      <c r="N182" s="42">
        <v>42</v>
      </c>
      <c r="O182" s="42">
        <v>42</v>
      </c>
      <c r="P182" s="42"/>
      <c r="Q182" s="42">
        <v>42</v>
      </c>
      <c r="R182" s="42"/>
      <c r="S182" s="42"/>
      <c r="T182" s="410">
        <v>42</v>
      </c>
      <c r="U182" s="42"/>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55">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105">
        <f>IF(NFI_Expiration=1,IF($A182&lt;VLOOKUP(T$5,NFI,5,0),1,0)*Data_NFI_t[[#This Row],[Jerry Can]],0)</f>
        <v>0</v>
      </c>
      <c r="AO182" s="709">
        <f>IF(NFI_Expiration=1,IF($A182&lt;VLOOKUP(U$5,NFI,5,0),1,0)*Data_NFI_t[[#This Row],[Plastic Mat]],0)</f>
        <v>0</v>
      </c>
      <c r="AP182" s="709">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09">
        <f>IF(NFI_Expiration=1,IF($A182&lt;VLOOKUP(X$5,NFI,5,0),1,0)*Data_NFI_t[[#This Row],[Solar Lantern]],0)</f>
        <v>0</v>
      </c>
      <c r="AT182" s="105" t="str">
        <f ca="1">IFERROR(OFFSET(Camp_List[P_Code],MATCH(Data_NFI_t[[#This Row],[Camp Name]],Camp_List[Camp Name],0)-1,0,1,1),"")</f>
        <v>MMR012CMP013</v>
      </c>
      <c r="AU182" s="412" t="str">
        <f ca="1">IFERROR(OFFSET(Camp_List[Status],MATCH(Data_NFI_t[[#This Row],[Camp Name]],Camp_List[Camp Name],0)-1,0,1,1),"")</f>
        <v>Relocated</v>
      </c>
      <c r="AV182" s="105"/>
    </row>
    <row r="183" spans="1:48" s="78" customFormat="1" ht="19.5" customHeight="1" x14ac:dyDescent="0.25">
      <c r="A183" s="208">
        <f t="shared" si="5"/>
        <v>34.6</v>
      </c>
      <c r="B183" s="208">
        <v>2016</v>
      </c>
      <c r="C183" s="719">
        <v>42396</v>
      </c>
      <c r="D183" s="395" t="s">
        <v>658</v>
      </c>
      <c r="E183" s="394" t="s">
        <v>658</v>
      </c>
      <c r="F183" s="395" t="s">
        <v>7</v>
      </c>
      <c r="G183" s="646" t="s">
        <v>814</v>
      </c>
      <c r="H183" s="646" t="s">
        <v>36</v>
      </c>
      <c r="I183" s="646"/>
      <c r="J183" s="646"/>
      <c r="K183" s="646"/>
      <c r="L183" s="42"/>
      <c r="M183" s="42"/>
      <c r="N183" s="42">
        <v>682</v>
      </c>
      <c r="O183" s="42">
        <v>682</v>
      </c>
      <c r="P183" s="42"/>
      <c r="Q183" s="42">
        <v>682</v>
      </c>
      <c r="R183" s="42"/>
      <c r="S183" s="42"/>
      <c r="T183" s="410">
        <v>682</v>
      </c>
      <c r="U183" s="42"/>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55">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105">
        <f>IF(NFI_Expiration=1,IF($A183&lt;VLOOKUP(T$5,NFI,5,0),1,0)*Data_NFI_t[[#This Row],[Jerry Can]],0)</f>
        <v>0</v>
      </c>
      <c r="AO183" s="709">
        <f>IF(NFI_Expiration=1,IF($A183&lt;VLOOKUP(U$5,NFI,5,0),1,0)*Data_NFI_t[[#This Row],[Plastic Mat]],0)</f>
        <v>0</v>
      </c>
      <c r="AP183" s="709">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09">
        <f>IF(NFI_Expiration=1,IF($A183&lt;VLOOKUP(X$5,NFI,5,0),1,0)*Data_NFI_t[[#This Row],[Solar Lantern]],0)</f>
        <v>0</v>
      </c>
      <c r="AT183" s="105" t="str">
        <f ca="1">IFERROR(OFFSET(Camp_List[P_Code],MATCH(Data_NFI_t[[#This Row],[Camp Name]],Camp_List[Camp Name],0)-1,0,1,1),"")</f>
        <v>MMR012CMP014</v>
      </c>
      <c r="AU183" s="412" t="str">
        <f ca="1">IFERROR(OFFSET(Camp_List[Status],MATCH(Data_NFI_t[[#This Row],[Camp Name]],Camp_List[Camp Name],0)-1,0,1,1),"")</f>
        <v>Open</v>
      </c>
      <c r="AV183" s="105"/>
    </row>
    <row r="184" spans="1:48" s="78" customFormat="1" ht="19.5" customHeight="1" x14ac:dyDescent="0.25">
      <c r="A184" s="208">
        <f t="shared" si="5"/>
        <v>34.766666666666666</v>
      </c>
      <c r="B184" s="208">
        <v>2016</v>
      </c>
      <c r="C184" s="719">
        <v>42391</v>
      </c>
      <c r="D184" s="395" t="s">
        <v>270</v>
      </c>
      <c r="E184" s="394" t="s">
        <v>270</v>
      </c>
      <c r="F184" s="395" t="s">
        <v>7</v>
      </c>
      <c r="G184" s="646" t="s">
        <v>17</v>
      </c>
      <c r="H184" s="646" t="s">
        <v>45</v>
      </c>
      <c r="I184" s="646"/>
      <c r="J184" s="646"/>
      <c r="K184" s="646"/>
      <c r="L184" s="42">
        <v>85</v>
      </c>
      <c r="M184" s="42"/>
      <c r="N184" s="42">
        <v>170</v>
      </c>
      <c r="O184" s="42">
        <v>85</v>
      </c>
      <c r="P184" s="42">
        <v>85</v>
      </c>
      <c r="Q184" s="42">
        <v>85</v>
      </c>
      <c r="R184" s="42"/>
      <c r="S184" s="42">
        <v>85</v>
      </c>
      <c r="T184" s="410">
        <v>85</v>
      </c>
      <c r="U184" s="42">
        <v>425</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55">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105">
        <f>IF(NFI_Expiration=1,IF($A184&lt;VLOOKUP(T$5,NFI,5,0),1,0)*Data_NFI_t[[#This Row],[Jerry Can]],0)</f>
        <v>0</v>
      </c>
      <c r="AO184" s="709">
        <f>IF(NFI_Expiration=1,IF($A184&lt;VLOOKUP(U$5,NFI,5,0),1,0)*Data_NFI_t[[#This Row],[Plastic Mat]],0)</f>
        <v>0</v>
      </c>
      <c r="AP184" s="709">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09">
        <f>IF(NFI_Expiration=1,IF($A184&lt;VLOOKUP(X$5,NFI,5,0),1,0)*Data_NFI_t[[#This Row],[Solar Lantern]],0)</f>
        <v>0</v>
      </c>
      <c r="AT184" s="105" t="str">
        <f ca="1">IFERROR(OFFSET(Camp_List[P_Code],MATCH(Data_NFI_t[[#This Row],[Camp Name]],Camp_List[Camp Name],0)-1,0,1,1),"")</f>
        <v>MMR012CMP023</v>
      </c>
      <c r="AU184" s="412" t="str">
        <f ca="1">IFERROR(OFFSET(Camp_List[Status],MATCH(Data_NFI_t[[#This Row],[Camp Name]],Camp_List[Camp Name],0)-1,0,1,1),"")</f>
        <v>Open</v>
      </c>
      <c r="AV184" s="105"/>
    </row>
    <row r="185" spans="1:48" s="78" customFormat="1" ht="19.5" customHeight="1" x14ac:dyDescent="0.25">
      <c r="A185" s="208">
        <f t="shared" si="5"/>
        <v>36.233333333333334</v>
      </c>
      <c r="B185" s="208">
        <v>2015</v>
      </c>
      <c r="C185" s="719">
        <v>42347</v>
      </c>
      <c r="D185" s="395" t="s">
        <v>279</v>
      </c>
      <c r="E185" s="394" t="s">
        <v>575</v>
      </c>
      <c r="F185" s="395" t="s">
        <v>7</v>
      </c>
      <c r="G185" s="646" t="s">
        <v>17</v>
      </c>
      <c r="H185" s="646" t="s">
        <v>62</v>
      </c>
      <c r="I185" s="646"/>
      <c r="J185" s="646"/>
      <c r="K185" s="646"/>
      <c r="L185" s="42"/>
      <c r="M185" s="42"/>
      <c r="N185" s="42"/>
      <c r="O185" s="42"/>
      <c r="P185" s="42">
        <v>1598</v>
      </c>
      <c r="Q185" s="42"/>
      <c r="R185" s="42"/>
      <c r="S185" s="42"/>
      <c r="T185" s="410"/>
      <c r="U185" s="42"/>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55">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09">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09">
        <f>IF(NFI_Expiration=1,IF($A185&lt;VLOOKUP(X$5,NFI,5,0),1,0)*Data_NFI_t[[#This Row],[Solar Lantern]],0)</f>
        <v>0</v>
      </c>
      <c r="AT185" s="105" t="str">
        <f ca="1">IFERROR(OFFSET(Camp_List[P_Code],MATCH(Data_NFI_t[[#This Row],[Camp Name]],Camp_List[Camp Name],0)-1,0,1,1),"")</f>
        <v/>
      </c>
      <c r="AU185" s="412" t="str">
        <f ca="1">IFERROR(OFFSET(Camp_List[Status],MATCH(Data_NFI_t[[#This Row],[Camp Name]],Camp_List[Camp Name],0)-1,0,1,1),"")</f>
        <v/>
      </c>
      <c r="AV185" s="105"/>
    </row>
    <row r="186" spans="1:48" s="78" customFormat="1" ht="19.5" customHeight="1" x14ac:dyDescent="0.25">
      <c r="A186" s="208">
        <f t="shared" si="5"/>
        <v>36.766666666666666</v>
      </c>
      <c r="B186" s="208">
        <v>2015</v>
      </c>
      <c r="C186" s="719">
        <v>42331</v>
      </c>
      <c r="D186" s="395" t="s">
        <v>575</v>
      </c>
      <c r="E186" s="394" t="s">
        <v>575</v>
      </c>
      <c r="F186" s="395" t="s">
        <v>7</v>
      </c>
      <c r="G186" s="646" t="s">
        <v>13</v>
      </c>
      <c r="H186" s="646" t="s">
        <v>38</v>
      </c>
      <c r="I186" s="646"/>
      <c r="J186" s="646"/>
      <c r="K186" s="646"/>
      <c r="L186" s="42">
        <v>986</v>
      </c>
      <c r="M186" s="42"/>
      <c r="N186" s="42">
        <v>1972</v>
      </c>
      <c r="O186" s="42">
        <v>986</v>
      </c>
      <c r="P186" s="42">
        <v>1972</v>
      </c>
      <c r="Q186" s="42">
        <v>986</v>
      </c>
      <c r="R186" s="42"/>
      <c r="S186" s="42">
        <v>968</v>
      </c>
      <c r="T186" s="410">
        <v>986</v>
      </c>
      <c r="U186" s="42">
        <v>4930</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55">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709">
        <f>IF(NFI_Expiration=1,IF($A186&lt;VLOOKUP(U$5,NFI,5,0),1,0)*Data_NFI_t[[#This Row],[Plastic Mat]],0)</f>
        <v>0</v>
      </c>
      <c r="AP186" s="709">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09">
        <f>IF(NFI_Expiration=1,IF($A186&lt;VLOOKUP(X$5,NFI,5,0),1,0)*Data_NFI_t[[#This Row],[Solar Lantern]],0)</f>
        <v>0</v>
      </c>
      <c r="AT186" s="105" t="str">
        <f ca="1">IFERROR(OFFSET(Camp_List[P_Code],MATCH(Data_NFI_t[[#This Row],[Camp Name]],Camp_List[Camp Name],0)-1,0,1,1),"")</f>
        <v>MMR012CMP016</v>
      </c>
      <c r="AU186" s="412" t="str">
        <f ca="1">IFERROR(OFFSET(Camp_List[Status],MATCH(Data_NFI_t[[#This Row],[Camp Name]],Camp_List[Camp Name],0)-1,0,1,1),"")</f>
        <v>Open</v>
      </c>
      <c r="AV186" s="105"/>
    </row>
    <row r="187" spans="1:48" s="78" customFormat="1" ht="19.5" customHeight="1" x14ac:dyDescent="0.25">
      <c r="A187" s="208">
        <f t="shared" si="5"/>
        <v>36.9</v>
      </c>
      <c r="B187" s="208">
        <v>2015</v>
      </c>
      <c r="C187" s="719">
        <v>42327</v>
      </c>
      <c r="D187" s="395" t="s">
        <v>871</v>
      </c>
      <c r="E187" s="394" t="s">
        <v>575</v>
      </c>
      <c r="F187" s="395" t="s">
        <v>7</v>
      </c>
      <c r="G187" s="646" t="s">
        <v>13</v>
      </c>
      <c r="H187" s="646" t="s">
        <v>39</v>
      </c>
      <c r="I187" s="646"/>
      <c r="J187" s="646"/>
      <c r="K187" s="646"/>
      <c r="L187" s="42"/>
      <c r="M187" s="42"/>
      <c r="N187" s="42">
        <v>1563</v>
      </c>
      <c r="O187" s="42"/>
      <c r="P187" s="42"/>
      <c r="Q187" s="42"/>
      <c r="R187" s="42"/>
      <c r="S187" s="42"/>
      <c r="T187" s="410"/>
      <c r="U187" s="42"/>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55">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09">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09">
        <f>IF(NFI_Expiration=1,IF($A187&lt;VLOOKUP(X$5,NFI,5,0),1,0)*Data_NFI_t[[#This Row],[Solar Lantern]],0)</f>
        <v>0</v>
      </c>
      <c r="AT187" s="105" t="str">
        <f ca="1">IFERROR(OFFSET(Camp_List[P_Code],MATCH(Data_NFI_t[[#This Row],[Camp Name]],Camp_List[Camp Name],0)-1,0,1,1),"")</f>
        <v/>
      </c>
      <c r="AU187" s="412" t="str">
        <f ca="1">IFERROR(OFFSET(Camp_List[Status],MATCH(Data_NFI_t[[#This Row],[Camp Name]],Camp_List[Camp Name],0)-1,0,1,1),"")</f>
        <v/>
      </c>
      <c r="AV187" s="105"/>
    </row>
    <row r="188" spans="1:48" s="78" customFormat="1" ht="19.5" customHeight="1" x14ac:dyDescent="0.25">
      <c r="A188" s="208">
        <f t="shared" si="5"/>
        <v>36.93333333333333</v>
      </c>
      <c r="B188" s="208">
        <v>2015</v>
      </c>
      <c r="C188" s="719">
        <v>42326</v>
      </c>
      <c r="D188" s="395" t="s">
        <v>575</v>
      </c>
      <c r="E188" s="394" t="s">
        <v>575</v>
      </c>
      <c r="F188" s="395" t="s">
        <v>7</v>
      </c>
      <c r="G188" s="646" t="s">
        <v>13</v>
      </c>
      <c r="H188" s="646" t="s">
        <v>37</v>
      </c>
      <c r="I188" s="646"/>
      <c r="J188" s="646"/>
      <c r="K188" s="646"/>
      <c r="L188" s="42">
        <v>21</v>
      </c>
      <c r="M188" s="42"/>
      <c r="N188" s="42">
        <v>42</v>
      </c>
      <c r="O188" s="42">
        <v>21</v>
      </c>
      <c r="P188" s="42">
        <v>42</v>
      </c>
      <c r="Q188" s="42">
        <v>21</v>
      </c>
      <c r="R188" s="42"/>
      <c r="S188" s="42">
        <v>21</v>
      </c>
      <c r="T188" s="410">
        <v>21</v>
      </c>
      <c r="U188" s="42">
        <v>105</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55">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709">
        <f>IF(NFI_Expiration=1,IF($A188&lt;VLOOKUP(U$5,NFI,5,0),1,0)*Data_NFI_t[[#This Row],[Plastic Mat]],0)</f>
        <v>0</v>
      </c>
      <c r="AP188" s="709">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09">
        <f>IF(NFI_Expiration=1,IF($A188&lt;VLOOKUP(X$5,NFI,5,0),1,0)*Data_NFI_t[[#This Row],[Solar Lantern]],0)</f>
        <v>0</v>
      </c>
      <c r="AT188" s="105" t="str">
        <f ca="1">IFERROR(OFFSET(Camp_List[P_Code],MATCH(Data_NFI_t[[#This Row],[Camp Name]],Camp_List[Camp Name],0)-1,0,1,1),"")</f>
        <v>MMR012CMP015</v>
      </c>
      <c r="AU188" s="412" t="str">
        <f ca="1">IFERROR(OFFSET(Camp_List[Status],MATCH(Data_NFI_t[[#This Row],[Camp Name]],Camp_List[Camp Name],0)-1,0,1,1),"")</f>
        <v>Relocated</v>
      </c>
      <c r="AV188" s="105"/>
    </row>
    <row r="189" spans="1:48" s="78" customFormat="1" ht="19.5" customHeight="1" x14ac:dyDescent="0.25">
      <c r="A189" s="208">
        <f t="shared" si="5"/>
        <v>37.43333333333333</v>
      </c>
      <c r="B189" s="208">
        <v>2015</v>
      </c>
      <c r="C189" s="719">
        <v>42311</v>
      </c>
      <c r="D189" s="395" t="s">
        <v>270</v>
      </c>
      <c r="E189" s="394" t="s">
        <v>873</v>
      </c>
      <c r="F189" s="395" t="s">
        <v>7</v>
      </c>
      <c r="G189" s="646" t="s">
        <v>15</v>
      </c>
      <c r="H189" s="646" t="s">
        <v>55</v>
      </c>
      <c r="I189" s="646">
        <v>0</v>
      </c>
      <c r="J189" s="646"/>
      <c r="K189" s="646"/>
      <c r="L189" s="42">
        <v>0</v>
      </c>
      <c r="M189" s="42">
        <v>0</v>
      </c>
      <c r="N189" s="42">
        <v>0</v>
      </c>
      <c r="O189" s="42">
        <v>7</v>
      </c>
      <c r="P189" s="42">
        <v>0</v>
      </c>
      <c r="Q189" s="42">
        <v>0</v>
      </c>
      <c r="R189" s="42">
        <v>0</v>
      </c>
      <c r="S189" s="42">
        <v>0</v>
      </c>
      <c r="T189" s="410">
        <v>0</v>
      </c>
      <c r="U189" s="42">
        <v>0</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55">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09">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09">
        <f>IF(NFI_Expiration=1,IF($A189&lt;VLOOKUP(X$5,NFI,5,0),1,0)*Data_NFI_t[[#This Row],[Solar Lantern]],0)</f>
        <v>0</v>
      </c>
      <c r="AT189" s="105" t="str">
        <f ca="1">IFERROR(OFFSET(Camp_List[P_Code],MATCH(Data_NFI_t[[#This Row],[Camp Name]],Camp_List[Camp Name],0)-1,0,1,1),"")</f>
        <v/>
      </c>
      <c r="AU189" s="412" t="str">
        <f ca="1">IFERROR(OFFSET(Camp_List[Status],MATCH(Data_NFI_t[[#This Row],[Camp Name]],Camp_List[Camp Name],0)-1,0,1,1),"")</f>
        <v/>
      </c>
      <c r="AV189" s="105"/>
    </row>
    <row r="190" spans="1:48" s="78" customFormat="1" ht="19.5" customHeight="1" x14ac:dyDescent="0.25">
      <c r="A190" s="208">
        <f t="shared" si="5"/>
        <v>37.666666666666664</v>
      </c>
      <c r="B190" s="208">
        <v>2015</v>
      </c>
      <c r="C190" s="719">
        <v>42304</v>
      </c>
      <c r="D190" s="395" t="s">
        <v>270</v>
      </c>
      <c r="E190" s="394" t="s">
        <v>873</v>
      </c>
      <c r="F190" s="395" t="s">
        <v>7</v>
      </c>
      <c r="G190" s="646" t="s">
        <v>15</v>
      </c>
      <c r="H190" s="646" t="s">
        <v>54</v>
      </c>
      <c r="I190" s="646">
        <v>0</v>
      </c>
      <c r="J190" s="646"/>
      <c r="K190" s="646"/>
      <c r="L190" s="42">
        <v>0</v>
      </c>
      <c r="M190" s="42">
        <v>0</v>
      </c>
      <c r="N190" s="42">
        <v>0</v>
      </c>
      <c r="O190" s="42">
        <v>5</v>
      </c>
      <c r="P190" s="42">
        <v>0</v>
      </c>
      <c r="Q190" s="42">
        <v>0</v>
      </c>
      <c r="R190" s="42">
        <v>0</v>
      </c>
      <c r="S190" s="42">
        <v>0</v>
      </c>
      <c r="T190" s="410">
        <v>0</v>
      </c>
      <c r="U190" s="42">
        <v>0</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55">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09">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09">
        <f>IF(NFI_Expiration=1,IF($A190&lt;VLOOKUP(X$5,NFI,5,0),1,0)*Data_NFI_t[[#This Row],[Solar Lantern]],0)</f>
        <v>0</v>
      </c>
      <c r="AT190" s="105" t="str">
        <f ca="1">IFERROR(OFFSET(Camp_List[P_Code],MATCH(Data_NFI_t[[#This Row],[Camp Name]],Camp_List[Camp Name],0)-1,0,1,1),"")</f>
        <v>MMR012CMP032</v>
      </c>
      <c r="AU190" s="412" t="str">
        <f ca="1">IFERROR(OFFSET(Camp_List[Status],MATCH(Data_NFI_t[[#This Row],[Camp Name]],Camp_List[Camp Name],0)-1,0,1,1),"")</f>
        <v>Returned</v>
      </c>
      <c r="AV190" s="105"/>
    </row>
    <row r="191" spans="1:48" s="78" customFormat="1" ht="19.5" customHeight="1" x14ac:dyDescent="0.25">
      <c r="A191" s="208">
        <f t="shared" si="5"/>
        <v>38.299999999999997</v>
      </c>
      <c r="B191" s="208">
        <f>YEAR(Data_NFI_t[[#This Row],[Distribution Date]])</f>
        <v>2015</v>
      </c>
      <c r="C191" s="719">
        <v>42285</v>
      </c>
      <c r="D191" s="395" t="s">
        <v>270</v>
      </c>
      <c r="E191" s="394" t="s">
        <v>575</v>
      </c>
      <c r="F191" s="395" t="s">
        <v>7</v>
      </c>
      <c r="G191" s="646" t="s">
        <v>17</v>
      </c>
      <c r="H191" s="646" t="s">
        <v>62</v>
      </c>
      <c r="I191" s="646"/>
      <c r="J191" s="646"/>
      <c r="K191" s="646"/>
      <c r="L191" s="42"/>
      <c r="M191" s="42"/>
      <c r="N191" s="42">
        <v>252</v>
      </c>
      <c r="O191" s="42">
        <v>127</v>
      </c>
      <c r="P191" s="42">
        <v>252</v>
      </c>
      <c r="Q191" s="42">
        <v>127</v>
      </c>
      <c r="R191" s="42"/>
      <c r="S191" s="42">
        <v>127</v>
      </c>
      <c r="T191" s="410">
        <v>127</v>
      </c>
      <c r="U191" s="42">
        <v>635</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55">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09">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09">
        <f>IF(NFI_Expiration=1,IF($A191&lt;VLOOKUP(X$5,NFI,5,0),1,0)*Data_NFI_t[[#This Row],[Solar Lantern]],0)</f>
        <v>0</v>
      </c>
      <c r="AT191" s="105" t="str">
        <f ca="1">IFERROR(OFFSET(Camp_List[P_Code],MATCH(Data_NFI_t[[#This Row],[Camp Name]],Camp_List[Camp Name],0)-1,0,1,1),"")</f>
        <v/>
      </c>
      <c r="AU191" s="412" t="str">
        <f ca="1">IFERROR(OFFSET(Camp_List[Status],MATCH(Data_NFI_t[[#This Row],[Camp Name]],Camp_List[Camp Name],0)-1,0,1,1),"")</f>
        <v/>
      </c>
      <c r="AV191" s="105"/>
    </row>
    <row r="192" spans="1:48" s="78" customFormat="1" ht="19.5" customHeight="1" x14ac:dyDescent="0.25">
      <c r="A192" s="208">
        <f t="shared" si="5"/>
        <v>38.299999999999997</v>
      </c>
      <c r="B192" s="208">
        <f>YEAR(Data_NFI_t[[#This Row],[Distribution Date]])</f>
        <v>2015</v>
      </c>
      <c r="C192" s="719">
        <v>42285</v>
      </c>
      <c r="D192" s="395" t="s">
        <v>575</v>
      </c>
      <c r="E192" s="394" t="s">
        <v>575</v>
      </c>
      <c r="F192" s="395" t="s">
        <v>7</v>
      </c>
      <c r="G192" s="646" t="s">
        <v>17</v>
      </c>
      <c r="H192" s="646" t="s">
        <v>62</v>
      </c>
      <c r="I192" s="646"/>
      <c r="J192" s="646"/>
      <c r="K192" s="646"/>
      <c r="L192" s="42"/>
      <c r="M192" s="42"/>
      <c r="N192" s="42" t="s">
        <v>863</v>
      </c>
      <c r="O192" s="42">
        <v>1</v>
      </c>
      <c r="P192" s="42" t="s">
        <v>863</v>
      </c>
      <c r="Q192" s="42" t="s">
        <v>864</v>
      </c>
      <c r="R192" s="42"/>
      <c r="S192" s="42" t="s">
        <v>864</v>
      </c>
      <c r="T192" s="410"/>
      <c r="U192" s="42" t="s">
        <v>865</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55">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709">
        <f>IF(NFI_Expiration=1,IF($A192&lt;VLOOKUP(U$5,NFI,5,0),1,0)*Data_NFI_t[[#This Row],[Plastic Mat]],0)</f>
        <v>0</v>
      </c>
      <c r="AP192" s="709">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09">
        <f>IF(NFI_Expiration=1,IF($A192&lt;VLOOKUP(X$5,NFI,5,0),1,0)*Data_NFI_t[[#This Row],[Solar Lantern]],0)</f>
        <v>0</v>
      </c>
      <c r="AT192" s="105" t="str">
        <f ca="1">IFERROR(OFFSET(Camp_List[P_Code],MATCH(Data_NFI_t[[#This Row],[Camp Name]],Camp_List[Camp Name],0)-1,0,1,1),"")</f>
        <v/>
      </c>
      <c r="AU192" s="412" t="str">
        <f ca="1">IFERROR(OFFSET(Camp_List[Status],MATCH(Data_NFI_t[[#This Row],[Camp Name]],Camp_List[Camp Name],0)-1,0,1,1),"")</f>
        <v/>
      </c>
      <c r="AV192" s="105"/>
    </row>
    <row r="193" spans="1:48" s="78" customFormat="1" ht="19.5" customHeight="1" x14ac:dyDescent="0.25">
      <c r="A193" s="208">
        <f t="shared" si="5"/>
        <v>39</v>
      </c>
      <c r="B193" s="208">
        <f>YEAR(Data_NFI_t[[#This Row],[Distribution Date]])</f>
        <v>2015</v>
      </c>
      <c r="C193" s="719">
        <v>42264</v>
      </c>
      <c r="D193" s="395" t="s">
        <v>270</v>
      </c>
      <c r="E193" s="394" t="s">
        <v>273</v>
      </c>
      <c r="F193" s="395" t="s">
        <v>7</v>
      </c>
      <c r="G193" s="646" t="s">
        <v>17</v>
      </c>
      <c r="H193" s="646" t="s">
        <v>65</v>
      </c>
      <c r="I193" s="646"/>
      <c r="J193" s="646"/>
      <c r="K193" s="646"/>
      <c r="L193" s="42"/>
      <c r="M193" s="42"/>
      <c r="N193" s="42">
        <v>730</v>
      </c>
      <c r="O193" s="42">
        <v>365</v>
      </c>
      <c r="P193" s="42">
        <v>730</v>
      </c>
      <c r="Q193" s="42">
        <v>365</v>
      </c>
      <c r="R193" s="42"/>
      <c r="S193" s="42">
        <v>365</v>
      </c>
      <c r="T193" s="410">
        <v>365</v>
      </c>
      <c r="U193" s="42">
        <v>1825</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55">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09">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09">
        <f>IF(NFI_Expiration=1,IF($A193&lt;VLOOKUP(X$5,NFI,5,0),1,0)*Data_NFI_t[[#This Row],[Solar Lantern]],0)</f>
        <v>0</v>
      </c>
      <c r="AT193" s="105" t="str">
        <f ca="1">IFERROR(OFFSET(Camp_List[P_Code],MATCH(Data_NFI_t[[#This Row],[Camp Name]],Camp_List[Camp Name],0)-1,0,1,1),"")</f>
        <v>MMR012CMP045</v>
      </c>
      <c r="AU193" s="412" t="str">
        <f ca="1">IFERROR(OFFSET(Camp_List[Status],MATCH(Data_NFI_t[[#This Row],[Camp Name]],Camp_List[Camp Name],0)-1,0,1,1),"")</f>
        <v>Open</v>
      </c>
      <c r="AV193" s="105"/>
    </row>
    <row r="194" spans="1:48" s="78" customFormat="1" ht="19.5" customHeight="1" x14ac:dyDescent="0.25">
      <c r="A194" s="208">
        <f t="shared" si="5"/>
        <v>39</v>
      </c>
      <c r="B194" s="208">
        <v>2015</v>
      </c>
      <c r="C194" s="719">
        <v>42264</v>
      </c>
      <c r="D194" s="395" t="s">
        <v>270</v>
      </c>
      <c r="E194" s="394" t="s">
        <v>873</v>
      </c>
      <c r="F194" s="395" t="s">
        <v>7</v>
      </c>
      <c r="G194" s="646" t="s">
        <v>15</v>
      </c>
      <c r="H194" s="646" t="s">
        <v>560</v>
      </c>
      <c r="I194" s="646">
        <v>0</v>
      </c>
      <c r="J194" s="646"/>
      <c r="K194" s="646"/>
      <c r="L194" s="42">
        <v>0</v>
      </c>
      <c r="M194" s="42">
        <v>0</v>
      </c>
      <c r="N194" s="42">
        <v>0</v>
      </c>
      <c r="O194" s="42">
        <v>10</v>
      </c>
      <c r="P194" s="42">
        <v>0</v>
      </c>
      <c r="Q194" s="42">
        <v>0</v>
      </c>
      <c r="R194" s="42">
        <v>0</v>
      </c>
      <c r="S194" s="42">
        <v>0</v>
      </c>
      <c r="T194" s="410">
        <v>0</v>
      </c>
      <c r="U194" s="42">
        <v>0</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55">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09">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09">
        <f>IF(NFI_Expiration=1,IF($A194&lt;VLOOKUP(X$5,NFI,5,0),1,0)*Data_NFI_t[[#This Row],[Solar Lantern]],0)</f>
        <v>0</v>
      </c>
      <c r="AT194" s="105" t="str">
        <f ca="1">IFERROR(OFFSET(Camp_List[P_Code],MATCH(Data_NFI_t[[#This Row],[Camp Name]],Camp_List[Camp Name],0)-1,0,1,1),"")</f>
        <v/>
      </c>
      <c r="AU194" s="412" t="str">
        <f ca="1">IFERROR(OFFSET(Camp_List[Status],MATCH(Data_NFI_t[[#This Row],[Camp Name]],Camp_List[Camp Name],0)-1,0,1,1),"")</f>
        <v/>
      </c>
      <c r="AV194" s="105"/>
    </row>
    <row r="195" spans="1:48" s="78" customFormat="1" ht="19.5" customHeight="1" x14ac:dyDescent="0.25">
      <c r="A195" s="208">
        <f t="shared" si="5"/>
        <v>40.200000000000003</v>
      </c>
      <c r="B195" s="208">
        <f>YEAR(Data_NFI_t[[#This Row],[Distribution Date]])</f>
        <v>2015</v>
      </c>
      <c r="C195" s="719">
        <v>42228</v>
      </c>
      <c r="D195" s="395" t="s">
        <v>270</v>
      </c>
      <c r="E195" s="394" t="s">
        <v>273</v>
      </c>
      <c r="F195" s="395" t="s">
        <v>7</v>
      </c>
      <c r="G195" s="646" t="s">
        <v>17</v>
      </c>
      <c r="H195" s="646" t="s">
        <v>65</v>
      </c>
      <c r="I195" s="646"/>
      <c r="J195" s="646"/>
      <c r="K195" s="646"/>
      <c r="L195" s="42">
        <v>273</v>
      </c>
      <c r="M195" s="42"/>
      <c r="N195" s="42">
        <v>546</v>
      </c>
      <c r="O195" s="42">
        <v>273</v>
      </c>
      <c r="P195" s="42">
        <v>546</v>
      </c>
      <c r="Q195" s="42">
        <v>273</v>
      </c>
      <c r="R195" s="42"/>
      <c r="S195" s="42">
        <v>273</v>
      </c>
      <c r="T195" s="410">
        <v>273</v>
      </c>
      <c r="U195" s="42">
        <v>1365</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55">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09">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09">
        <f>IF(NFI_Expiration=1,IF($A195&lt;VLOOKUP(X$5,NFI,5,0),1,0)*Data_NFI_t[[#This Row],[Solar Lantern]],0)</f>
        <v>0</v>
      </c>
      <c r="AT195" s="105" t="str">
        <f ca="1">IFERROR(OFFSET(Camp_List[P_Code],MATCH(Data_NFI_t[[#This Row],[Camp Name]],Camp_List[Camp Name],0)-1,0,1,1),"")</f>
        <v>MMR012CMP045</v>
      </c>
      <c r="AU195" s="412" t="str">
        <f ca="1">IFERROR(OFFSET(Camp_List[Status],MATCH(Data_NFI_t[[#This Row],[Camp Name]],Camp_List[Camp Name],0)-1,0,1,1),"")</f>
        <v>Open</v>
      </c>
      <c r="AV195" s="105"/>
    </row>
    <row r="196" spans="1:48" s="78" customFormat="1" ht="19.5" customHeight="1" x14ac:dyDescent="0.25">
      <c r="A196" s="208">
        <f t="shared" si="5"/>
        <v>40.200000000000003</v>
      </c>
      <c r="B196" s="208">
        <f>YEAR(Data_NFI_t[[#This Row],[Distribution Date]])</f>
        <v>2015</v>
      </c>
      <c r="C196" s="719">
        <v>42228</v>
      </c>
      <c r="D196" s="395" t="s">
        <v>270</v>
      </c>
      <c r="E196" s="394" t="s">
        <v>575</v>
      </c>
      <c r="F196" s="395" t="s">
        <v>7</v>
      </c>
      <c r="G196" s="646" t="s">
        <v>17</v>
      </c>
      <c r="H196" s="646" t="s">
        <v>59</v>
      </c>
      <c r="I196" s="646"/>
      <c r="J196" s="646"/>
      <c r="K196" s="646"/>
      <c r="L196" s="42">
        <v>59</v>
      </c>
      <c r="M196" s="42"/>
      <c r="N196" s="42">
        <v>6</v>
      </c>
      <c r="O196" s="42">
        <v>3</v>
      </c>
      <c r="P196" s="42">
        <v>6</v>
      </c>
      <c r="Q196" s="42">
        <v>3</v>
      </c>
      <c r="R196" s="42"/>
      <c r="S196" s="42">
        <v>3</v>
      </c>
      <c r="T196" s="410">
        <v>3</v>
      </c>
      <c r="U196" s="42">
        <v>15</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55">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09">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09">
        <f>IF(NFI_Expiration=1,IF($A196&lt;VLOOKUP(X$5,NFI,5,0),1,0)*Data_NFI_t[[#This Row],[Solar Lantern]],0)</f>
        <v>0</v>
      </c>
      <c r="AT196" s="105" t="str">
        <f ca="1">IFERROR(OFFSET(Camp_List[P_Code],MATCH(Data_NFI_t[[#This Row],[Camp Name]],Camp_List[Camp Name],0)-1,0,1,1),"")</f>
        <v>MMR012CMP039</v>
      </c>
      <c r="AU196" s="412" t="str">
        <f ca="1">IFERROR(OFFSET(Camp_List[Status],MATCH(Data_NFI_t[[#This Row],[Camp Name]],Camp_List[Camp Name],0)-1,0,1,1),"")</f>
        <v>Open</v>
      </c>
      <c r="AV196" s="105"/>
    </row>
    <row r="197" spans="1:48" s="78" customFormat="1" ht="19.5" customHeight="1" x14ac:dyDescent="0.25">
      <c r="A197" s="208">
        <f t="shared" si="5"/>
        <v>40.200000000000003</v>
      </c>
      <c r="B197" s="208">
        <f>YEAR(Data_NFI_t[[#This Row],[Distribution Date]])</f>
        <v>2015</v>
      </c>
      <c r="C197" s="719">
        <v>42228</v>
      </c>
      <c r="D197" s="395" t="s">
        <v>270</v>
      </c>
      <c r="E197" s="394" t="s">
        <v>575</v>
      </c>
      <c r="F197" s="395" t="s">
        <v>7</v>
      </c>
      <c r="G197" s="646" t="s">
        <v>17</v>
      </c>
      <c r="H197" s="646" t="s">
        <v>62</v>
      </c>
      <c r="I197" s="646"/>
      <c r="J197" s="646"/>
      <c r="K197" s="646"/>
      <c r="L197" s="42">
        <v>160</v>
      </c>
      <c r="M197" s="42"/>
      <c r="N197" s="42">
        <v>96</v>
      </c>
      <c r="O197" s="42">
        <v>48</v>
      </c>
      <c r="P197" s="42">
        <v>96</v>
      </c>
      <c r="Q197" s="42">
        <v>48</v>
      </c>
      <c r="R197" s="42"/>
      <c r="S197" s="42">
        <v>48</v>
      </c>
      <c r="T197" s="410">
        <v>48</v>
      </c>
      <c r="U197" s="42">
        <v>240</v>
      </c>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55">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09">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09">
        <f>IF(NFI_Expiration=1,IF($A197&lt;VLOOKUP(X$5,NFI,5,0),1,0)*Data_NFI_t[[#This Row],[Solar Lantern]],0)</f>
        <v>0</v>
      </c>
      <c r="AT197" s="105" t="str">
        <f ca="1">IFERROR(OFFSET(Camp_List[P_Code],MATCH(Data_NFI_t[[#This Row],[Camp Name]],Camp_List[Camp Name],0)-1,0,1,1),"")</f>
        <v/>
      </c>
      <c r="AU197" s="412" t="str">
        <f ca="1">IFERROR(OFFSET(Camp_List[Status],MATCH(Data_NFI_t[[#This Row],[Camp Name]],Camp_List[Camp Name],0)-1,0,1,1),"")</f>
        <v/>
      </c>
      <c r="AV197" s="105"/>
    </row>
    <row r="198" spans="1:48" s="78" customFormat="1" ht="19.5" customHeight="1" x14ac:dyDescent="0.25">
      <c r="A198" s="208">
        <f t="shared" si="5"/>
        <v>40.333333333333336</v>
      </c>
      <c r="B198" s="208">
        <f>YEAR(Data_NFI_t[[#This Row],[Distribution Date]])</f>
        <v>2015</v>
      </c>
      <c r="C198" s="719">
        <v>42224</v>
      </c>
      <c r="D198" s="395" t="s">
        <v>270</v>
      </c>
      <c r="E198" s="394" t="s">
        <v>473</v>
      </c>
      <c r="F198" s="395" t="s">
        <v>7</v>
      </c>
      <c r="G198" s="646" t="s">
        <v>13</v>
      </c>
      <c r="H198" s="646" t="s">
        <v>40</v>
      </c>
      <c r="I198" s="646"/>
      <c r="J198" s="646"/>
      <c r="K198" s="646"/>
      <c r="L198" s="42"/>
      <c r="M198" s="42"/>
      <c r="N198" s="42">
        <v>62</v>
      </c>
      <c r="O198" s="42">
        <v>31</v>
      </c>
      <c r="P198" s="42">
        <v>62</v>
      </c>
      <c r="Q198" s="42">
        <v>31</v>
      </c>
      <c r="R198" s="42"/>
      <c r="S198" s="42">
        <v>31</v>
      </c>
      <c r="T198" s="410">
        <v>31</v>
      </c>
      <c r="U198" s="42">
        <v>155</v>
      </c>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55">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09">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09">
        <f>IF(NFI_Expiration=1,IF($A198&lt;VLOOKUP(X$5,NFI,5,0),1,0)*Data_NFI_t[[#This Row],[Solar Lantern]],0)</f>
        <v>0</v>
      </c>
      <c r="AT198" s="105" t="str">
        <f ca="1">IFERROR(OFFSET(Camp_List[P_Code],MATCH(Data_NFI_t[[#This Row],[Camp Name]],Camp_List[Camp Name],0)-1,0,1,1),"")</f>
        <v>MMR012CMP018</v>
      </c>
      <c r="AU198" s="412" t="str">
        <f ca="1">IFERROR(OFFSET(Camp_List[Status],MATCH(Data_NFI_t[[#This Row],[Camp Name]],Camp_List[Camp Name],0)-1,0,1,1),"")</f>
        <v>Open</v>
      </c>
      <c r="AV198" s="105"/>
    </row>
    <row r="199" spans="1:48" s="78" customFormat="1" ht="19.5" customHeight="1" x14ac:dyDescent="0.25">
      <c r="A199" s="208">
        <f t="shared" si="5"/>
        <v>40.833333333333336</v>
      </c>
      <c r="B199" s="208">
        <f>YEAR(Data_NFI_t[[#This Row],[Distribution Date]])</f>
        <v>2015</v>
      </c>
      <c r="C199" s="719">
        <v>42209</v>
      </c>
      <c r="D199" s="395" t="s">
        <v>270</v>
      </c>
      <c r="E199" s="394" t="s">
        <v>473</v>
      </c>
      <c r="F199" s="395" t="s">
        <v>7</v>
      </c>
      <c r="G199" s="646" t="s">
        <v>17</v>
      </c>
      <c r="H199" s="646" t="s">
        <v>68</v>
      </c>
      <c r="I199" s="646"/>
      <c r="J199" s="646"/>
      <c r="K199" s="646"/>
      <c r="L199" s="42">
        <v>984</v>
      </c>
      <c r="M199" s="42"/>
      <c r="N199" s="42">
        <v>1968</v>
      </c>
      <c r="O199" s="42">
        <v>984</v>
      </c>
      <c r="P199" s="42">
        <v>1968</v>
      </c>
      <c r="Q199" s="42">
        <v>984</v>
      </c>
      <c r="R199" s="42"/>
      <c r="S199" s="42">
        <v>984</v>
      </c>
      <c r="T199" s="410">
        <v>984</v>
      </c>
      <c r="U199" s="42">
        <v>4920</v>
      </c>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55">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09">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09">
        <f>IF(NFI_Expiration=1,IF($A199&lt;VLOOKUP(X$5,NFI,5,0),1,0)*Data_NFI_t[[#This Row],[Solar Lantern]],0)</f>
        <v>0</v>
      </c>
      <c r="AT199" s="105" t="str">
        <f ca="1">IFERROR(OFFSET(Camp_List[P_Code],MATCH(Data_NFI_t[[#This Row],[Camp Name]],Camp_List[Camp Name],0)-1,0,1,1),"")</f>
        <v>MMR012CMP048</v>
      </c>
      <c r="AU199" s="412" t="str">
        <f ca="1">IFERROR(OFFSET(Camp_List[Status],MATCH(Data_NFI_t[[#This Row],[Camp Name]],Camp_List[Camp Name],0)-1,0,1,1),"")</f>
        <v>Open</v>
      </c>
      <c r="AV199" s="105"/>
    </row>
    <row r="200" spans="1:48" s="78" customFormat="1" ht="19.5" customHeight="1" x14ac:dyDescent="0.25">
      <c r="A200" s="208">
        <f t="shared" si="5"/>
        <v>40.866666666666667</v>
      </c>
      <c r="B200" s="208">
        <v>2015</v>
      </c>
      <c r="C200" s="719">
        <v>42208</v>
      </c>
      <c r="D200" s="395" t="s">
        <v>270</v>
      </c>
      <c r="E200" s="394" t="s">
        <v>270</v>
      </c>
      <c r="F200" s="395" t="s">
        <v>7</v>
      </c>
      <c r="G200" s="646" t="s">
        <v>15</v>
      </c>
      <c r="H200" s="646" t="s">
        <v>382</v>
      </c>
      <c r="I200" s="646">
        <v>0</v>
      </c>
      <c r="J200" s="646"/>
      <c r="K200" s="646"/>
      <c r="L200" s="42">
        <v>0</v>
      </c>
      <c r="M200" s="42">
        <v>0</v>
      </c>
      <c r="N200" s="42">
        <v>0</v>
      </c>
      <c r="O200" s="42">
        <v>217</v>
      </c>
      <c r="P200" s="42">
        <v>0</v>
      </c>
      <c r="Q200" s="42">
        <v>0</v>
      </c>
      <c r="R200" s="42">
        <v>0</v>
      </c>
      <c r="S200" s="42">
        <v>0</v>
      </c>
      <c r="T200" s="410">
        <v>0</v>
      </c>
      <c r="U200" s="42">
        <v>0</v>
      </c>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55">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09">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09">
        <f>IF(NFI_Expiration=1,IF($A200&lt;VLOOKUP(X$5,NFI,5,0),1,0)*Data_NFI_t[[#This Row],[Solar Lantern]],0)</f>
        <v>0</v>
      </c>
      <c r="AT200" s="105" t="str">
        <f ca="1">IFERROR(OFFSET(Camp_List[P_Code],MATCH(Data_NFI_t[[#This Row],[Camp Name]],Camp_List[Camp Name],0)-1,0,1,1),"")</f>
        <v/>
      </c>
      <c r="AU200" s="412" t="str">
        <f ca="1">IFERROR(OFFSET(Camp_List[Status],MATCH(Data_NFI_t[[#This Row],[Camp Name]],Camp_List[Camp Name],0)-1,0,1,1),"")</f>
        <v/>
      </c>
      <c r="AV200" s="105"/>
    </row>
    <row r="201" spans="1:48" s="78" customFormat="1" ht="19.5" customHeight="1" x14ac:dyDescent="0.25">
      <c r="A201" s="208">
        <f t="shared" si="5"/>
        <v>40.866666666666667</v>
      </c>
      <c r="B201" s="208">
        <v>2015</v>
      </c>
      <c r="C201" s="719">
        <v>42208</v>
      </c>
      <c r="D201" s="395" t="s">
        <v>270</v>
      </c>
      <c r="E201" s="394" t="s">
        <v>270</v>
      </c>
      <c r="F201" s="395" t="s">
        <v>7</v>
      </c>
      <c r="G201" s="646" t="s">
        <v>15</v>
      </c>
      <c r="H201" s="646" t="s">
        <v>560</v>
      </c>
      <c r="I201" s="646">
        <v>0</v>
      </c>
      <c r="J201" s="646"/>
      <c r="K201" s="646"/>
      <c r="L201" s="42">
        <v>0</v>
      </c>
      <c r="M201" s="42">
        <v>0</v>
      </c>
      <c r="N201" s="42">
        <v>0</v>
      </c>
      <c r="O201" s="42">
        <v>167</v>
      </c>
      <c r="P201" s="42">
        <v>0</v>
      </c>
      <c r="Q201" s="42">
        <v>0</v>
      </c>
      <c r="R201" s="42">
        <v>0</v>
      </c>
      <c r="S201" s="42">
        <v>0</v>
      </c>
      <c r="T201" s="410">
        <v>0</v>
      </c>
      <c r="U201" s="42">
        <v>0</v>
      </c>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55">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09">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09">
        <f>IF(NFI_Expiration=1,IF($A201&lt;VLOOKUP(X$5,NFI,5,0),1,0)*Data_NFI_t[[#This Row],[Solar Lantern]],0)</f>
        <v>0</v>
      </c>
      <c r="AT201" s="105" t="str">
        <f ca="1">IFERROR(OFFSET(Camp_List[P_Code],MATCH(Data_NFI_t[[#This Row],[Camp Name]],Camp_List[Camp Name],0)-1,0,1,1),"")</f>
        <v/>
      </c>
      <c r="AU201" s="412" t="str">
        <f ca="1">IFERROR(OFFSET(Camp_List[Status],MATCH(Data_NFI_t[[#This Row],[Camp Name]],Camp_List[Camp Name],0)-1,0,1,1),"")</f>
        <v/>
      </c>
      <c r="AV201" s="105"/>
    </row>
    <row r="202" spans="1:48" s="78" customFormat="1" ht="21.75" customHeight="1" x14ac:dyDescent="0.25">
      <c r="A202" s="208">
        <f t="shared" si="5"/>
        <v>41.333333333333336</v>
      </c>
      <c r="B202" s="208">
        <f>YEAR(Data_NFI_t[[#This Row],[Distribution Date]])</f>
        <v>2015</v>
      </c>
      <c r="C202" s="719">
        <v>42194</v>
      </c>
      <c r="D202" s="395" t="s">
        <v>270</v>
      </c>
      <c r="E202" s="394" t="s">
        <v>473</v>
      </c>
      <c r="F202" s="395" t="s">
        <v>7</v>
      </c>
      <c r="G202" s="646" t="s">
        <v>17</v>
      </c>
      <c r="H202" s="646" t="s">
        <v>580</v>
      </c>
      <c r="I202" s="646"/>
      <c r="J202" s="646"/>
      <c r="K202" s="646"/>
      <c r="L202" s="42">
        <v>624</v>
      </c>
      <c r="M202" s="42"/>
      <c r="N202" s="42">
        <v>1248</v>
      </c>
      <c r="O202" s="42">
        <v>624</v>
      </c>
      <c r="P202" s="42">
        <v>1248</v>
      </c>
      <c r="Q202" s="42">
        <v>624</v>
      </c>
      <c r="R202" s="42"/>
      <c r="S202" s="42">
        <v>624</v>
      </c>
      <c r="T202" s="410">
        <v>624</v>
      </c>
      <c r="U202" s="42">
        <v>3120</v>
      </c>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55">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09">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09">
        <f>IF(NFI_Expiration=1,IF($A202&lt;VLOOKUP(X$5,NFI,5,0),1,0)*Data_NFI_t[[#This Row],[Solar Lantern]],0)</f>
        <v>0</v>
      </c>
      <c r="AT202" s="105" t="str">
        <f ca="1">IFERROR(OFFSET(Camp_List[P_Code],MATCH(Data_NFI_t[[#This Row],[Camp Name]],Camp_List[Camp Name],0)-1,0,1,1),"")</f>
        <v>MMR012CMP092</v>
      </c>
      <c r="AU202" s="412" t="str">
        <f ca="1">IFERROR(OFFSET(Camp_List[Status],MATCH(Data_NFI_t[[#This Row],[Camp Name]],Camp_List[Camp Name],0)-1,0,1,1),"")</f>
        <v>Open</v>
      </c>
      <c r="AV202" s="105"/>
    </row>
    <row r="203" spans="1:48" s="78" customFormat="1" ht="19.5" customHeight="1" x14ac:dyDescent="0.25">
      <c r="A203" s="208">
        <f t="shared" si="5"/>
        <v>41.766666666666666</v>
      </c>
      <c r="B203" s="208">
        <f>YEAR(Data_NFI_t[[#This Row],[Distribution Date]])</f>
        <v>2015</v>
      </c>
      <c r="C203" s="719">
        <v>42181</v>
      </c>
      <c r="D203" s="395" t="s">
        <v>270</v>
      </c>
      <c r="E203" s="394" t="s">
        <v>270</v>
      </c>
      <c r="F203" s="395" t="s">
        <v>7</v>
      </c>
      <c r="G203" s="646" t="s">
        <v>14</v>
      </c>
      <c r="H203" s="646" t="s">
        <v>50</v>
      </c>
      <c r="I203" s="646"/>
      <c r="J203" s="646"/>
      <c r="K203" s="646"/>
      <c r="L203" s="42"/>
      <c r="M203" s="42"/>
      <c r="N203" s="42"/>
      <c r="O203" s="42">
        <v>112</v>
      </c>
      <c r="P203" s="42"/>
      <c r="Q203" s="42"/>
      <c r="R203" s="42"/>
      <c r="S203" s="42"/>
      <c r="T203" s="410"/>
      <c r="U203" s="42"/>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55">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09">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09">
        <f>IF(NFI_Expiration=1,IF($A203&lt;VLOOKUP(X$5,NFI,5,0),1,0)*Data_NFI_t[[#This Row],[Solar Lantern]],0)</f>
        <v>0</v>
      </c>
      <c r="AT203" s="105" t="str">
        <f ca="1">IFERROR(OFFSET(Camp_List[P_Code],MATCH(Data_NFI_t[[#This Row],[Camp Name]],Camp_List[Camp Name],0)-1,0,1,1),"")</f>
        <v>MMR012CMP028</v>
      </c>
      <c r="AU203" s="412" t="str">
        <f ca="1">IFERROR(OFFSET(Camp_List[Status],MATCH(Data_NFI_t[[#This Row],[Camp Name]],Camp_List[Camp Name],0)-1,0,1,1),"")</f>
        <v>Returned</v>
      </c>
      <c r="AV203" s="105"/>
    </row>
    <row r="204" spans="1:48" s="78" customFormat="1" ht="19.5" customHeight="1" x14ac:dyDescent="0.25">
      <c r="A204" s="208">
        <f t="shared" si="5"/>
        <v>41.766666666666666</v>
      </c>
      <c r="B204" s="208">
        <f>YEAR(Data_NFI_t[[#This Row],[Distribution Date]])</f>
        <v>2015</v>
      </c>
      <c r="C204" s="719">
        <v>42181</v>
      </c>
      <c r="D204" s="395" t="s">
        <v>270</v>
      </c>
      <c r="E204" s="394" t="s">
        <v>270</v>
      </c>
      <c r="F204" s="395" t="s">
        <v>7</v>
      </c>
      <c r="G204" s="646" t="s">
        <v>14</v>
      </c>
      <c r="H204" s="646" t="s">
        <v>51</v>
      </c>
      <c r="I204" s="646"/>
      <c r="J204" s="646"/>
      <c r="K204" s="646"/>
      <c r="L204" s="42"/>
      <c r="M204" s="42"/>
      <c r="N204" s="42"/>
      <c r="O204" s="42">
        <v>138</v>
      </c>
      <c r="P204" s="42"/>
      <c r="Q204" s="42"/>
      <c r="R204" s="42"/>
      <c r="S204" s="42"/>
      <c r="T204" s="410"/>
      <c r="U204" s="42"/>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55">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09">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09">
        <f>IF(NFI_Expiration=1,IF($A204&lt;VLOOKUP(X$5,NFI,5,0),1,0)*Data_NFI_t[[#This Row],[Solar Lantern]],0)</f>
        <v>0</v>
      </c>
      <c r="AT204" s="105" t="str">
        <f ca="1">IFERROR(OFFSET(Camp_List[P_Code],MATCH(Data_NFI_t[[#This Row],[Camp Name]],Camp_List[Camp Name],0)-1,0,1,1),"")</f>
        <v>MMR012CMP029</v>
      </c>
      <c r="AU204" s="412" t="str">
        <f ca="1">IFERROR(OFFSET(Camp_List[Status],MATCH(Data_NFI_t[[#This Row],[Camp Name]],Camp_List[Camp Name],0)-1,0,1,1),"")</f>
        <v>Returned</v>
      </c>
      <c r="AV204" s="105"/>
    </row>
    <row r="205" spans="1:48" s="78" customFormat="1" ht="19.5" customHeight="1" x14ac:dyDescent="0.25">
      <c r="A205" s="208">
        <f t="shared" si="5"/>
        <v>41.8</v>
      </c>
      <c r="B205" s="208">
        <f>YEAR(Data_NFI_t[[#This Row],[Distribution Date]])</f>
        <v>2015</v>
      </c>
      <c r="C205" s="719">
        <v>42180</v>
      </c>
      <c r="D205" s="395" t="s">
        <v>270</v>
      </c>
      <c r="E205" s="394" t="s">
        <v>270</v>
      </c>
      <c r="F205" s="395" t="s">
        <v>7</v>
      </c>
      <c r="G205" s="646" t="s">
        <v>14</v>
      </c>
      <c r="H205" s="646" t="s">
        <v>45</v>
      </c>
      <c r="I205" s="646"/>
      <c r="J205" s="646"/>
      <c r="K205" s="646"/>
      <c r="L205" s="42"/>
      <c r="M205" s="42"/>
      <c r="N205" s="42"/>
      <c r="O205" s="42">
        <v>85</v>
      </c>
      <c r="P205" s="42"/>
      <c r="Q205" s="42"/>
      <c r="R205" s="42"/>
      <c r="S205" s="42"/>
      <c r="T205" s="410"/>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55">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09">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09">
        <f>IF(NFI_Expiration=1,IF($A205&lt;VLOOKUP(X$5,NFI,5,0),1,0)*Data_NFI_t[[#This Row],[Solar Lantern]],0)</f>
        <v>0</v>
      </c>
      <c r="AT205" s="105" t="str">
        <f ca="1">IFERROR(OFFSET(Camp_List[P_Code],MATCH(Data_NFI_t[[#This Row],[Camp Name]],Camp_List[Camp Name],0)-1,0,1,1),"")</f>
        <v>MMR012CMP023</v>
      </c>
      <c r="AU205" s="412" t="str">
        <f ca="1">IFERROR(OFFSET(Camp_List[Status],MATCH(Data_NFI_t[[#This Row],[Camp Name]],Camp_List[Camp Name],0)-1,0,1,1),"")</f>
        <v>Open</v>
      </c>
      <c r="AV205" s="105"/>
    </row>
    <row r="206" spans="1:48" s="78" customFormat="1" ht="19.5" customHeight="1" x14ac:dyDescent="0.25">
      <c r="A206" s="208">
        <f t="shared" si="5"/>
        <v>41.8</v>
      </c>
      <c r="B206" s="208">
        <f>YEAR(Data_NFI_t[[#This Row],[Distribution Date]])</f>
        <v>2015</v>
      </c>
      <c r="C206" s="719">
        <v>42180</v>
      </c>
      <c r="D206" s="395" t="s">
        <v>270</v>
      </c>
      <c r="E206" s="394" t="s">
        <v>270</v>
      </c>
      <c r="F206" s="395" t="s">
        <v>7</v>
      </c>
      <c r="G206" s="646" t="s">
        <v>14</v>
      </c>
      <c r="H206" s="646" t="s">
        <v>52</v>
      </c>
      <c r="I206" s="646"/>
      <c r="J206" s="646"/>
      <c r="K206" s="646"/>
      <c r="L206" s="42"/>
      <c r="M206" s="42"/>
      <c r="N206" s="42"/>
      <c r="O206" s="42">
        <v>97</v>
      </c>
      <c r="P206" s="42"/>
      <c r="Q206" s="42"/>
      <c r="R206" s="42"/>
      <c r="S206" s="42"/>
      <c r="T206" s="410"/>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55">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09">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09">
        <f>IF(NFI_Expiration=1,IF($A206&lt;VLOOKUP(X$5,NFI,5,0),1,0)*Data_NFI_t[[#This Row],[Solar Lantern]],0)</f>
        <v>0</v>
      </c>
      <c r="AT206" s="105" t="str">
        <f ca="1">IFERROR(OFFSET(Camp_List[P_Code],MATCH(Data_NFI_t[[#This Row],[Camp Name]],Camp_List[Camp Name],0)-1,0,1,1),"")</f>
        <v>MMR012CMP030</v>
      </c>
      <c r="AU206" s="412" t="str">
        <f ca="1">IFERROR(OFFSET(Camp_List[Status],MATCH(Data_NFI_t[[#This Row],[Camp Name]],Camp_List[Camp Name],0)-1,0,1,1),"")</f>
        <v>Relocated</v>
      </c>
      <c r="AV206" s="105"/>
    </row>
    <row r="207" spans="1:48" s="78" customFormat="1" ht="19.5" customHeight="1" x14ac:dyDescent="0.25">
      <c r="A207" s="208">
        <f t="shared" si="5"/>
        <v>41.833333333333336</v>
      </c>
      <c r="B207" s="208">
        <f>YEAR(Data_NFI_t[[#This Row],[Distribution Date]])</f>
        <v>2015</v>
      </c>
      <c r="C207" s="719">
        <v>42179</v>
      </c>
      <c r="D207" s="395" t="s">
        <v>270</v>
      </c>
      <c r="E207" s="394" t="s">
        <v>270</v>
      </c>
      <c r="F207" s="395" t="s">
        <v>7</v>
      </c>
      <c r="G207" s="646" t="s">
        <v>14</v>
      </c>
      <c r="H207" s="646" t="s">
        <v>48</v>
      </c>
      <c r="I207" s="646"/>
      <c r="J207" s="646"/>
      <c r="K207" s="646"/>
      <c r="L207" s="42"/>
      <c r="M207" s="42"/>
      <c r="N207" s="42"/>
      <c r="O207" s="42">
        <v>236</v>
      </c>
      <c r="P207" s="42"/>
      <c r="Q207" s="42"/>
      <c r="R207" s="42"/>
      <c r="S207" s="42"/>
      <c r="T207" s="410"/>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55">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09">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09">
        <f>IF(NFI_Expiration=1,IF($A207&lt;VLOOKUP(X$5,NFI,5,0),1,0)*Data_NFI_t[[#This Row],[Solar Lantern]],0)</f>
        <v>0</v>
      </c>
      <c r="AT207" s="105" t="str">
        <f ca="1">IFERROR(OFFSET(Camp_List[P_Code],MATCH(Data_NFI_t[[#This Row],[Camp Name]],Camp_List[Camp Name],0)-1,0,1,1),"")</f>
        <v>MMR012CMP026</v>
      </c>
      <c r="AU207" s="412" t="str">
        <f ca="1">IFERROR(OFFSET(Camp_List[Status],MATCH(Data_NFI_t[[#This Row],[Camp Name]],Camp_List[Camp Name],0)-1,0,1,1),"")</f>
        <v>Returned</v>
      </c>
      <c r="AV207" s="105"/>
    </row>
    <row r="208" spans="1:48" s="78" customFormat="1" ht="19.5" customHeight="1" x14ac:dyDescent="0.25">
      <c r="A208" s="208">
        <f t="shared" si="5"/>
        <v>41.833333333333336</v>
      </c>
      <c r="B208" s="208">
        <f>YEAR(Data_NFI_t[[#This Row],[Distribution Date]])</f>
        <v>2015</v>
      </c>
      <c r="C208" s="719">
        <v>42179</v>
      </c>
      <c r="D208" s="395" t="s">
        <v>270</v>
      </c>
      <c r="E208" s="394" t="s">
        <v>270</v>
      </c>
      <c r="F208" s="395" t="s">
        <v>7</v>
      </c>
      <c r="G208" s="646" t="s">
        <v>14</v>
      </c>
      <c r="H208" s="646" t="s">
        <v>46</v>
      </c>
      <c r="I208" s="646"/>
      <c r="J208" s="646"/>
      <c r="K208" s="646"/>
      <c r="L208" s="42"/>
      <c r="M208" s="42"/>
      <c r="N208" s="42"/>
      <c r="O208" s="42">
        <v>92</v>
      </c>
      <c r="P208" s="42"/>
      <c r="Q208" s="42"/>
      <c r="R208" s="42"/>
      <c r="S208" s="42"/>
      <c r="T208" s="410"/>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55">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09">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09">
        <f>IF(NFI_Expiration=1,IF($A208&lt;VLOOKUP(X$5,NFI,5,0),1,0)*Data_NFI_t[[#This Row],[Solar Lantern]],0)</f>
        <v>0</v>
      </c>
      <c r="AT208" s="105" t="str">
        <f ca="1">IFERROR(OFFSET(Camp_List[P_Code],MATCH(Data_NFI_t[[#This Row],[Camp Name]],Camp_List[Camp Name],0)-1,0,1,1),"")</f>
        <v>MMR012CMP024</v>
      </c>
      <c r="AU208" s="412" t="str">
        <f ca="1">IFERROR(OFFSET(Camp_List[Status],MATCH(Data_NFI_t[[#This Row],[Camp Name]],Camp_List[Camp Name],0)-1,0,1,1),"")</f>
        <v>Returned</v>
      </c>
      <c r="AV208" s="105"/>
    </row>
    <row r="209" spans="1:48" s="78" customFormat="1" ht="19.5" customHeight="1" x14ac:dyDescent="0.25">
      <c r="A209" s="208">
        <f t="shared" si="5"/>
        <v>41.833333333333336</v>
      </c>
      <c r="B209" s="208">
        <f>YEAR(Data_NFI_t[[#This Row],[Distribution Date]])</f>
        <v>2015</v>
      </c>
      <c r="C209" s="719">
        <v>42179</v>
      </c>
      <c r="D209" s="395" t="s">
        <v>270</v>
      </c>
      <c r="E209" s="394" t="s">
        <v>270</v>
      </c>
      <c r="F209" s="395" t="s">
        <v>7</v>
      </c>
      <c r="G209" s="646" t="s">
        <v>14</v>
      </c>
      <c r="H209" s="646" t="s">
        <v>49</v>
      </c>
      <c r="I209" s="646"/>
      <c r="J209" s="646"/>
      <c r="K209" s="646"/>
      <c r="L209" s="42"/>
      <c r="M209" s="42"/>
      <c r="N209" s="42"/>
      <c r="O209" s="42">
        <v>116</v>
      </c>
      <c r="P209" s="42"/>
      <c r="Q209" s="42"/>
      <c r="R209" s="42"/>
      <c r="S209" s="42"/>
      <c r="T209" s="410"/>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55">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09">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09">
        <f>IF(NFI_Expiration=1,IF($A209&lt;VLOOKUP(X$5,NFI,5,0),1,0)*Data_NFI_t[[#This Row],[Solar Lantern]],0)</f>
        <v>0</v>
      </c>
      <c r="AT209" s="105" t="str">
        <f ca="1">IFERROR(OFFSET(Camp_List[P_Code],MATCH(Data_NFI_t[[#This Row],[Camp Name]],Camp_List[Camp Name],0)-1,0,1,1),"")</f>
        <v>MMR012CMP027</v>
      </c>
      <c r="AU209" s="412" t="str">
        <f ca="1">IFERROR(OFFSET(Camp_List[Status],MATCH(Data_NFI_t[[#This Row],[Camp Name]],Camp_List[Camp Name],0)-1,0,1,1),"")</f>
        <v>Returned</v>
      </c>
      <c r="AV209" s="105"/>
    </row>
    <row r="210" spans="1:48" s="78" customFormat="1" ht="19.5" customHeight="1" x14ac:dyDescent="0.25">
      <c r="A210" s="208">
        <f t="shared" si="5"/>
        <v>41.866666666666667</v>
      </c>
      <c r="B210" s="208">
        <f>YEAR(Data_NFI_t[[#This Row],[Distribution Date]])</f>
        <v>2015</v>
      </c>
      <c r="C210" s="719">
        <v>42178</v>
      </c>
      <c r="D210" s="395" t="s">
        <v>270</v>
      </c>
      <c r="E210" s="394" t="s">
        <v>270</v>
      </c>
      <c r="F210" s="395" t="s">
        <v>7</v>
      </c>
      <c r="G210" s="646" t="s">
        <v>11</v>
      </c>
      <c r="H210" s="646" t="s">
        <v>24</v>
      </c>
      <c r="I210" s="646"/>
      <c r="J210" s="646"/>
      <c r="K210" s="646"/>
      <c r="L210" s="42"/>
      <c r="M210" s="42"/>
      <c r="N210" s="42"/>
      <c r="O210" s="42">
        <v>16</v>
      </c>
      <c r="P210" s="42"/>
      <c r="Q210" s="42"/>
      <c r="R210" s="42"/>
      <c r="S210" s="42"/>
      <c r="T210" s="410"/>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55">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09">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09">
        <f>IF(NFI_Expiration=1,IF($A210&lt;VLOOKUP(X$5,NFI,5,0),1,0)*Data_NFI_t[[#This Row],[Solar Lantern]],0)</f>
        <v>0</v>
      </c>
      <c r="AT210" s="105" t="str">
        <f ca="1">IFERROR(OFFSET(Camp_List[P_Code],MATCH(Data_NFI_t[[#This Row],[Camp Name]],Camp_List[Camp Name],0)-1,0,1,1),"")</f>
        <v>MMR012CMP002</v>
      </c>
      <c r="AU210" s="412" t="str">
        <f ca="1">IFERROR(OFFSET(Camp_List[Status],MATCH(Data_NFI_t[[#This Row],[Camp Name]],Camp_List[Camp Name],0)-1,0,1,1),"")</f>
        <v>Returned</v>
      </c>
      <c r="AV210" s="105"/>
    </row>
    <row r="211" spans="1:48" s="78" customFormat="1" ht="19.5" customHeight="1" x14ac:dyDescent="0.25">
      <c r="A211" s="208">
        <f t="shared" si="5"/>
        <v>42.133333333333333</v>
      </c>
      <c r="B211" s="208">
        <v>2015</v>
      </c>
      <c r="C211" s="719">
        <v>42170</v>
      </c>
      <c r="D211" s="395" t="s">
        <v>270</v>
      </c>
      <c r="E211" s="394" t="s">
        <v>873</v>
      </c>
      <c r="F211" s="395" t="s">
        <v>7</v>
      </c>
      <c r="G211" s="646" t="s">
        <v>15</v>
      </c>
      <c r="H211" s="646" t="s">
        <v>382</v>
      </c>
      <c r="I211" s="646">
        <v>0</v>
      </c>
      <c r="J211" s="646"/>
      <c r="K211" s="646"/>
      <c r="L211" s="42">
        <v>0</v>
      </c>
      <c r="M211" s="42">
        <v>0</v>
      </c>
      <c r="N211" s="42">
        <v>0</v>
      </c>
      <c r="O211" s="42">
        <v>10</v>
      </c>
      <c r="P211" s="42">
        <v>0</v>
      </c>
      <c r="Q211" s="42">
        <v>0</v>
      </c>
      <c r="R211" s="42">
        <v>0</v>
      </c>
      <c r="S211" s="42">
        <v>0</v>
      </c>
      <c r="T211" s="410">
        <v>0</v>
      </c>
      <c r="U211" s="42">
        <v>0</v>
      </c>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55">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09">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09">
        <f>IF(NFI_Expiration=1,IF($A211&lt;VLOOKUP(X$5,NFI,5,0),1,0)*Data_NFI_t[[#This Row],[Solar Lantern]],0)</f>
        <v>0</v>
      </c>
      <c r="AT211" s="105" t="str">
        <f ca="1">IFERROR(OFFSET(Camp_List[P_Code],MATCH(Data_NFI_t[[#This Row],[Camp Name]],Camp_List[Camp Name],0)-1,0,1,1),"")</f>
        <v/>
      </c>
      <c r="AU211" s="412" t="str">
        <f ca="1">IFERROR(OFFSET(Camp_List[Status],MATCH(Data_NFI_t[[#This Row],[Camp Name]],Camp_List[Camp Name],0)-1,0,1,1),"")</f>
        <v/>
      </c>
      <c r="AV211" s="105"/>
    </row>
    <row r="212" spans="1:48" s="78" customFormat="1" ht="19.5" customHeight="1" x14ac:dyDescent="0.25">
      <c r="A212" s="208">
        <f t="shared" si="5"/>
        <v>42.133333333333333</v>
      </c>
      <c r="B212" s="208">
        <v>2015</v>
      </c>
      <c r="C212" s="719">
        <v>42170</v>
      </c>
      <c r="D212" s="395" t="s">
        <v>270</v>
      </c>
      <c r="E212" s="394" t="s">
        <v>873</v>
      </c>
      <c r="F212" s="395" t="s">
        <v>7</v>
      </c>
      <c r="G212" s="646" t="s">
        <v>15</v>
      </c>
      <c r="H212" s="646" t="s">
        <v>560</v>
      </c>
      <c r="I212" s="646">
        <v>0</v>
      </c>
      <c r="J212" s="646"/>
      <c r="K212" s="646"/>
      <c r="L212" s="42">
        <v>0</v>
      </c>
      <c r="M212" s="42">
        <v>0</v>
      </c>
      <c r="N212" s="42">
        <v>0</v>
      </c>
      <c r="O212" s="42">
        <v>20</v>
      </c>
      <c r="P212" s="42">
        <v>0</v>
      </c>
      <c r="Q212" s="42">
        <v>0</v>
      </c>
      <c r="R212" s="42">
        <v>0</v>
      </c>
      <c r="S212" s="42">
        <v>0</v>
      </c>
      <c r="T212" s="410">
        <v>0</v>
      </c>
      <c r="U212" s="42">
        <v>0</v>
      </c>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55">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09">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09">
        <f>IF(NFI_Expiration=1,IF($A212&lt;VLOOKUP(X$5,NFI,5,0),1,0)*Data_NFI_t[[#This Row],[Solar Lantern]],0)</f>
        <v>0</v>
      </c>
      <c r="AT212" s="105" t="str">
        <f ca="1">IFERROR(OFFSET(Camp_List[P_Code],MATCH(Data_NFI_t[[#This Row],[Camp Name]],Camp_List[Camp Name],0)-1,0,1,1),"")</f>
        <v/>
      </c>
      <c r="AU212" s="412" t="str">
        <f ca="1">IFERROR(OFFSET(Camp_List[Status],MATCH(Data_NFI_t[[#This Row],[Camp Name]],Camp_List[Camp Name],0)-1,0,1,1),"")</f>
        <v/>
      </c>
      <c r="AV212" s="105"/>
    </row>
    <row r="213" spans="1:48" s="78" customFormat="1" ht="19.5" customHeight="1" x14ac:dyDescent="0.25">
      <c r="A213" s="208">
        <f t="shared" si="5"/>
        <v>42.133333333333333</v>
      </c>
      <c r="B213" s="208">
        <v>2015</v>
      </c>
      <c r="C213" s="719">
        <v>42170</v>
      </c>
      <c r="D213" s="395" t="s">
        <v>270</v>
      </c>
      <c r="E213" s="394" t="s">
        <v>873</v>
      </c>
      <c r="F213" s="395" t="s">
        <v>7</v>
      </c>
      <c r="G213" s="646" t="s">
        <v>15</v>
      </c>
      <c r="H213" s="646" t="s">
        <v>55</v>
      </c>
      <c r="I213" s="646">
        <v>0</v>
      </c>
      <c r="J213" s="646"/>
      <c r="K213" s="646"/>
      <c r="L213" s="42">
        <v>0</v>
      </c>
      <c r="M213" s="42">
        <v>0</v>
      </c>
      <c r="N213" s="42">
        <v>0</v>
      </c>
      <c r="O213" s="42">
        <v>10</v>
      </c>
      <c r="P213" s="42">
        <v>0</v>
      </c>
      <c r="Q213" s="42">
        <v>0</v>
      </c>
      <c r="R213" s="42">
        <v>0</v>
      </c>
      <c r="S213" s="42">
        <v>0</v>
      </c>
      <c r="T213" s="410">
        <v>0</v>
      </c>
      <c r="U213" s="42">
        <v>0</v>
      </c>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55">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09">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09">
        <f>IF(NFI_Expiration=1,IF($A213&lt;VLOOKUP(X$5,NFI,5,0),1,0)*Data_NFI_t[[#This Row],[Solar Lantern]],0)</f>
        <v>0</v>
      </c>
      <c r="AT213" s="105" t="str">
        <f ca="1">IFERROR(OFFSET(Camp_List[P_Code],MATCH(Data_NFI_t[[#This Row],[Camp Name]],Camp_List[Camp Name],0)-1,0,1,1),"")</f>
        <v/>
      </c>
      <c r="AU213" s="412" t="str">
        <f ca="1">IFERROR(OFFSET(Camp_List[Status],MATCH(Data_NFI_t[[#This Row],[Camp Name]],Camp_List[Camp Name],0)-1,0,1,1),"")</f>
        <v/>
      </c>
      <c r="AV213" s="105"/>
    </row>
    <row r="214" spans="1:48" s="78" customFormat="1" ht="19.5" customHeight="1" x14ac:dyDescent="0.25">
      <c r="A214" s="208">
        <f t="shared" si="5"/>
        <v>42.266666666666666</v>
      </c>
      <c r="B214" s="208">
        <f>YEAR(Data_NFI_t[[#This Row],[Distribution Date]])</f>
        <v>2015</v>
      </c>
      <c r="C214" s="719">
        <v>42166</v>
      </c>
      <c r="D214" s="395" t="s">
        <v>270</v>
      </c>
      <c r="E214" s="394" t="s">
        <v>270</v>
      </c>
      <c r="F214" s="395" t="s">
        <v>7</v>
      </c>
      <c r="G214" s="646" t="s">
        <v>11</v>
      </c>
      <c r="H214" s="646" t="s">
        <v>24</v>
      </c>
      <c r="I214" s="646"/>
      <c r="J214" s="646"/>
      <c r="K214" s="646"/>
      <c r="L214" s="42"/>
      <c r="M214" s="42"/>
      <c r="N214" s="42"/>
      <c r="O214" s="42">
        <v>187</v>
      </c>
      <c r="P214" s="42"/>
      <c r="Q214" s="42"/>
      <c r="R214" s="42"/>
      <c r="S214" s="42"/>
      <c r="T214" s="410"/>
      <c r="U214" s="42"/>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55">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09">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09">
        <f>IF(NFI_Expiration=1,IF($A214&lt;VLOOKUP(X$5,NFI,5,0),1,0)*Data_NFI_t[[#This Row],[Solar Lantern]],0)</f>
        <v>0</v>
      </c>
      <c r="AT214" s="105" t="str">
        <f ca="1">IFERROR(OFFSET(Camp_List[P_Code],MATCH(Data_NFI_t[[#This Row],[Camp Name]],Camp_List[Camp Name],0)-1,0,1,1),"")</f>
        <v>MMR012CMP002</v>
      </c>
      <c r="AU214" s="412" t="str">
        <f ca="1">IFERROR(OFFSET(Camp_List[Status],MATCH(Data_NFI_t[[#This Row],[Camp Name]],Camp_List[Camp Name],0)-1,0,1,1),"")</f>
        <v>Returned</v>
      </c>
      <c r="AV214" s="105"/>
    </row>
    <row r="215" spans="1:48" s="78" customFormat="1" ht="19.5" customHeight="1" x14ac:dyDescent="0.25">
      <c r="A215" s="208">
        <f t="shared" si="5"/>
        <v>42.266666666666666</v>
      </c>
      <c r="B215" s="208">
        <f>YEAR(Data_NFI_t[[#This Row],[Distribution Date]])</f>
        <v>2015</v>
      </c>
      <c r="C215" s="719">
        <v>42166</v>
      </c>
      <c r="D215" s="395" t="s">
        <v>270</v>
      </c>
      <c r="E215" s="394" t="s">
        <v>270</v>
      </c>
      <c r="F215" s="395" t="s">
        <v>7</v>
      </c>
      <c r="G215" s="646" t="s">
        <v>11</v>
      </c>
      <c r="H215" s="646" t="s">
        <v>25</v>
      </c>
      <c r="I215" s="646"/>
      <c r="J215" s="646"/>
      <c r="K215" s="646"/>
      <c r="L215" s="42"/>
      <c r="M215" s="42"/>
      <c r="N215" s="42"/>
      <c r="O215" s="42">
        <v>90</v>
      </c>
      <c r="P215" s="42"/>
      <c r="Q215" s="42"/>
      <c r="R215" s="42"/>
      <c r="S215" s="42"/>
      <c r="T215" s="410"/>
      <c r="U215" s="42"/>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55">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09">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09">
        <f>IF(NFI_Expiration=1,IF($A215&lt;VLOOKUP(X$5,NFI,5,0),1,0)*Data_NFI_t[[#This Row],[Solar Lantern]],0)</f>
        <v>0</v>
      </c>
      <c r="AT215" s="105" t="str">
        <f ca="1">IFERROR(OFFSET(Camp_List[P_Code],MATCH(Data_NFI_t[[#This Row],[Camp Name]],Camp_List[Camp Name],0)-1,0,1,1),"")</f>
        <v>MMR012CMP003</v>
      </c>
      <c r="AU215" s="412" t="str">
        <f ca="1">IFERROR(OFFSET(Camp_List[Status],MATCH(Data_NFI_t[[#This Row],[Camp Name]],Camp_List[Camp Name],0)-1,0,1,1),"")</f>
        <v>Returned</v>
      </c>
      <c r="AV215" s="105"/>
    </row>
    <row r="216" spans="1:48" s="78" customFormat="1" ht="19.5" customHeight="1" x14ac:dyDescent="0.25">
      <c r="A216" s="208">
        <f t="shared" si="5"/>
        <v>42.266666666666666</v>
      </c>
      <c r="B216" s="208">
        <f>YEAR(Data_NFI_t[[#This Row],[Distribution Date]])</f>
        <v>2015</v>
      </c>
      <c r="C216" s="719">
        <v>42166</v>
      </c>
      <c r="D216" s="395" t="s">
        <v>270</v>
      </c>
      <c r="E216" s="394" t="s">
        <v>270</v>
      </c>
      <c r="F216" s="395" t="s">
        <v>7</v>
      </c>
      <c r="G216" s="646" t="s">
        <v>11</v>
      </c>
      <c r="H216" s="646" t="s">
        <v>28</v>
      </c>
      <c r="I216" s="646"/>
      <c r="J216" s="646"/>
      <c r="K216" s="646"/>
      <c r="L216" s="42"/>
      <c r="M216" s="42"/>
      <c r="N216" s="42"/>
      <c r="O216" s="42">
        <v>86</v>
      </c>
      <c r="P216" s="42"/>
      <c r="Q216" s="42"/>
      <c r="R216" s="42"/>
      <c r="S216" s="42"/>
      <c r="T216" s="410"/>
      <c r="U216" s="42"/>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55">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09">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09">
        <f>IF(NFI_Expiration=1,IF($A216&lt;VLOOKUP(X$5,NFI,5,0),1,0)*Data_NFI_t[[#This Row],[Solar Lantern]],0)</f>
        <v>0</v>
      </c>
      <c r="AT216" s="105" t="str">
        <f ca="1">IFERROR(OFFSET(Camp_List[P_Code],MATCH(Data_NFI_t[[#This Row],[Camp Name]],Camp_List[Camp Name],0)-1,0,1,1),"")</f>
        <v>MMR012CMP006</v>
      </c>
      <c r="AU216" s="412" t="str">
        <f ca="1">IFERROR(OFFSET(Camp_List[Status],MATCH(Data_NFI_t[[#This Row],[Camp Name]],Camp_List[Camp Name],0)-1,0,1,1),"")</f>
        <v>Returned</v>
      </c>
      <c r="AV216" s="105"/>
    </row>
    <row r="217" spans="1:48" s="78" customFormat="1" ht="19.5" customHeight="1" x14ac:dyDescent="0.25">
      <c r="A217" s="208">
        <f t="shared" si="5"/>
        <v>42.266666666666666</v>
      </c>
      <c r="B217" s="208">
        <f>YEAR(Data_NFI_t[[#This Row],[Distribution Date]])</f>
        <v>2015</v>
      </c>
      <c r="C217" s="719">
        <v>42166</v>
      </c>
      <c r="D217" s="395" t="s">
        <v>270</v>
      </c>
      <c r="E217" s="394" t="s">
        <v>270</v>
      </c>
      <c r="F217" s="395" t="s">
        <v>7</v>
      </c>
      <c r="G217" s="646" t="s">
        <v>11</v>
      </c>
      <c r="H217" s="646" t="s">
        <v>30</v>
      </c>
      <c r="I217" s="646"/>
      <c r="J217" s="646"/>
      <c r="K217" s="646"/>
      <c r="L217" s="42"/>
      <c r="M217" s="42"/>
      <c r="N217" s="42"/>
      <c r="O217" s="42">
        <v>225</v>
      </c>
      <c r="P217" s="42"/>
      <c r="Q217" s="42"/>
      <c r="R217" s="42"/>
      <c r="S217" s="42"/>
      <c r="T217" s="410"/>
      <c r="U217" s="42"/>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55">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09">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09">
        <f>IF(NFI_Expiration=1,IF($A217&lt;VLOOKUP(X$5,NFI,5,0),1,0)*Data_NFI_t[[#This Row],[Solar Lantern]],0)</f>
        <v>0</v>
      </c>
      <c r="AT217" s="105" t="str">
        <f ca="1">IFERROR(OFFSET(Camp_List[P_Code],MATCH(Data_NFI_t[[#This Row],[Camp Name]],Camp_List[Camp Name],0)-1,0,1,1),"")</f>
        <v>MMR012CMP008</v>
      </c>
      <c r="AU217" s="412" t="str">
        <f ca="1">IFERROR(OFFSET(Camp_List[Status],MATCH(Data_NFI_t[[#This Row],[Camp Name]],Camp_List[Camp Name],0)-1,0,1,1),"")</f>
        <v>Returned</v>
      </c>
      <c r="AV217" s="105"/>
    </row>
    <row r="218" spans="1:48" s="78" customFormat="1" ht="19.5" customHeight="1" x14ac:dyDescent="0.25">
      <c r="A218" s="208">
        <f t="shared" si="5"/>
        <v>42.3</v>
      </c>
      <c r="B218" s="208">
        <f>YEAR(Data_NFI_t[[#This Row],[Distribution Date]])</f>
        <v>2015</v>
      </c>
      <c r="C218" s="719">
        <v>42165</v>
      </c>
      <c r="D218" s="395" t="s">
        <v>270</v>
      </c>
      <c r="E218" s="394" t="s">
        <v>270</v>
      </c>
      <c r="F218" s="395" t="s">
        <v>7</v>
      </c>
      <c r="G218" s="646" t="s">
        <v>932</v>
      </c>
      <c r="H218" s="646" t="s">
        <v>31</v>
      </c>
      <c r="I218" s="646"/>
      <c r="J218" s="646"/>
      <c r="K218" s="646"/>
      <c r="L218" s="42"/>
      <c r="M218" s="42"/>
      <c r="N218" s="42"/>
      <c r="O218" s="42">
        <v>56</v>
      </c>
      <c r="P218" s="42"/>
      <c r="Q218" s="42"/>
      <c r="R218" s="42"/>
      <c r="S218" s="42"/>
      <c r="T218" s="410"/>
      <c r="U218" s="42"/>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55">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09">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09">
        <f>IF(NFI_Expiration=1,IF($A218&lt;VLOOKUP(X$5,NFI,5,0),1,0)*Data_NFI_t[[#This Row],[Solar Lantern]],0)</f>
        <v>0</v>
      </c>
      <c r="AT218" s="105" t="str">
        <f ca="1">IFERROR(OFFSET(Camp_List[P_Code],MATCH(Data_NFI_t[[#This Row],[Camp Name]],Camp_List[Camp Name],0)-1,0,1,1),"")</f>
        <v>MMR012CMP009</v>
      </c>
      <c r="AU218" s="412" t="str">
        <f ca="1">IFERROR(OFFSET(Camp_List[Status],MATCH(Data_NFI_t[[#This Row],[Camp Name]],Camp_List[Camp Name],0)-1,0,1,1),"")</f>
        <v>Returned</v>
      </c>
      <c r="AV218" s="105"/>
    </row>
    <row r="219" spans="1:48" s="78" customFormat="1" ht="19.5" customHeight="1" x14ac:dyDescent="0.25">
      <c r="A219" s="208">
        <f t="shared" si="5"/>
        <v>42.3</v>
      </c>
      <c r="B219" s="208">
        <f>YEAR(Data_NFI_t[[#This Row],[Distribution Date]])</f>
        <v>2015</v>
      </c>
      <c r="C219" s="719">
        <v>42165</v>
      </c>
      <c r="D219" s="395" t="s">
        <v>270</v>
      </c>
      <c r="E219" s="394" t="s">
        <v>270</v>
      </c>
      <c r="F219" s="395" t="s">
        <v>7</v>
      </c>
      <c r="G219" s="646" t="s">
        <v>932</v>
      </c>
      <c r="H219" s="646" t="s">
        <v>32</v>
      </c>
      <c r="I219" s="646"/>
      <c r="J219" s="646"/>
      <c r="K219" s="646"/>
      <c r="L219" s="42"/>
      <c r="M219" s="42"/>
      <c r="N219" s="42"/>
      <c r="O219" s="42">
        <v>55</v>
      </c>
      <c r="P219" s="42"/>
      <c r="Q219" s="42"/>
      <c r="R219" s="42"/>
      <c r="S219" s="42"/>
      <c r="T219" s="410"/>
      <c r="U219" s="42"/>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55">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09">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09">
        <f>IF(NFI_Expiration=1,IF($A219&lt;VLOOKUP(X$5,NFI,5,0),1,0)*Data_NFI_t[[#This Row],[Solar Lantern]],0)</f>
        <v>0</v>
      </c>
      <c r="AT219" s="105" t="str">
        <f ca="1">IFERROR(OFFSET(Camp_List[P_Code],MATCH(Data_NFI_t[[#This Row],[Camp Name]],Camp_List[Camp Name],0)-1,0,1,1),"")</f>
        <v>MMR012CMP010</v>
      </c>
      <c r="AU219" s="412" t="str">
        <f ca="1">IFERROR(OFFSET(Camp_List[Status],MATCH(Data_NFI_t[[#This Row],[Camp Name]],Camp_List[Camp Name],0)-1,0,1,1),"")</f>
        <v>Returned</v>
      </c>
      <c r="AV219" s="105"/>
    </row>
    <row r="220" spans="1:48" s="78" customFormat="1" ht="19.5" customHeight="1" x14ac:dyDescent="0.25">
      <c r="A220" s="208">
        <f t="shared" si="5"/>
        <v>42.3</v>
      </c>
      <c r="B220" s="208">
        <f>YEAR(Data_NFI_t[[#This Row],[Distribution Date]])</f>
        <v>2015</v>
      </c>
      <c r="C220" s="719">
        <v>42165</v>
      </c>
      <c r="D220" s="395" t="s">
        <v>270</v>
      </c>
      <c r="E220" s="394" t="s">
        <v>270</v>
      </c>
      <c r="F220" s="395" t="s">
        <v>7</v>
      </c>
      <c r="G220" s="646" t="s">
        <v>11</v>
      </c>
      <c r="H220" s="646" t="s">
        <v>27</v>
      </c>
      <c r="I220" s="646"/>
      <c r="J220" s="646"/>
      <c r="K220" s="646"/>
      <c r="L220" s="42"/>
      <c r="M220" s="42"/>
      <c r="N220" s="42"/>
      <c r="O220" s="42">
        <v>275</v>
      </c>
      <c r="P220" s="42"/>
      <c r="Q220" s="42"/>
      <c r="R220" s="42"/>
      <c r="S220" s="42"/>
      <c r="T220" s="410"/>
      <c r="U220" s="42"/>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55">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09">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09">
        <f>IF(NFI_Expiration=1,IF($A220&lt;VLOOKUP(X$5,NFI,5,0),1,0)*Data_NFI_t[[#This Row],[Solar Lantern]],0)</f>
        <v>0</v>
      </c>
      <c r="AT220" s="105" t="str">
        <f ca="1">IFERROR(OFFSET(Camp_List[P_Code],MATCH(Data_NFI_t[[#This Row],[Camp Name]],Camp_List[Camp Name],0)-1,0,1,1),"")</f>
        <v>MMR012CMP005</v>
      </c>
      <c r="AU220" s="412" t="str">
        <f ca="1">IFERROR(OFFSET(Camp_List[Status],MATCH(Data_NFI_t[[#This Row],[Camp Name]],Camp_List[Camp Name],0)-1,0,1,1),"")</f>
        <v>Returned</v>
      </c>
      <c r="AV220" s="105"/>
    </row>
    <row r="221" spans="1:48" s="78" customFormat="1" ht="19.5" customHeight="1" x14ac:dyDescent="0.25">
      <c r="A221" s="208">
        <f t="shared" si="5"/>
        <v>43</v>
      </c>
      <c r="B221" s="208">
        <f>YEAR(Data_NFI_t[[#This Row],[Distribution Date]])</f>
        <v>2015</v>
      </c>
      <c r="C221" s="719">
        <v>42144</v>
      </c>
      <c r="D221" s="395" t="s">
        <v>270</v>
      </c>
      <c r="E221" s="394" t="s">
        <v>273</v>
      </c>
      <c r="F221" s="395" t="s">
        <v>7</v>
      </c>
      <c r="G221" s="646" t="s">
        <v>17</v>
      </c>
      <c r="H221" s="646" t="s">
        <v>585</v>
      </c>
      <c r="I221" s="646">
        <v>0</v>
      </c>
      <c r="J221" s="646"/>
      <c r="K221" s="646"/>
      <c r="L221" s="42">
        <v>140</v>
      </c>
      <c r="M221" s="42">
        <v>0</v>
      </c>
      <c r="N221" s="42">
        <v>1298</v>
      </c>
      <c r="O221" s="42">
        <v>649</v>
      </c>
      <c r="P221" s="42">
        <v>1298</v>
      </c>
      <c r="Q221" s="42">
        <v>649</v>
      </c>
      <c r="R221" s="42">
        <v>509</v>
      </c>
      <c r="S221" s="42">
        <v>649</v>
      </c>
      <c r="T221" s="410">
        <v>649</v>
      </c>
      <c r="U221" s="42">
        <v>3245</v>
      </c>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55">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09">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09">
        <f>IF(NFI_Expiration=1,IF($A221&lt;VLOOKUP(X$5,NFI,5,0),1,0)*Data_NFI_t[[#This Row],[Solar Lantern]],0)</f>
        <v>0</v>
      </c>
      <c r="AT221" s="105" t="str">
        <f ca="1">IFERROR(OFFSET(Camp_List[P_Code],MATCH(Data_NFI_t[[#This Row],[Camp Name]],Camp_List[Camp Name],0)-1,0,1,1),"")</f>
        <v>MMR012CMP098</v>
      </c>
      <c r="AU221" s="412" t="str">
        <f ca="1">IFERROR(OFFSET(Camp_List[Status],MATCH(Data_NFI_t[[#This Row],[Camp Name]],Camp_List[Camp Name],0)-1,0,1,1),"")</f>
        <v>Open</v>
      </c>
      <c r="AV221" s="105"/>
    </row>
    <row r="222" spans="1:48" s="78" customFormat="1" ht="19.5" customHeight="1" x14ac:dyDescent="0.25">
      <c r="A222" s="208">
        <f t="shared" si="5"/>
        <v>43.266666666666666</v>
      </c>
      <c r="B222" s="208">
        <f>YEAR(Data_NFI_t[[#This Row],[Distribution Date]])</f>
        <v>2015</v>
      </c>
      <c r="C222" s="719">
        <v>42136</v>
      </c>
      <c r="D222" s="395" t="s">
        <v>270</v>
      </c>
      <c r="E222" s="394" t="s">
        <v>473</v>
      </c>
      <c r="F222" s="395" t="s">
        <v>7</v>
      </c>
      <c r="G222" s="646" t="s">
        <v>17</v>
      </c>
      <c r="H222" s="646" t="s">
        <v>590</v>
      </c>
      <c r="I222" s="646">
        <v>0</v>
      </c>
      <c r="J222" s="646"/>
      <c r="K222" s="646"/>
      <c r="L222" s="42"/>
      <c r="M222" s="42">
        <v>0</v>
      </c>
      <c r="N222" s="42">
        <v>498</v>
      </c>
      <c r="O222" s="42">
        <v>249</v>
      </c>
      <c r="P222" s="42">
        <v>498</v>
      </c>
      <c r="Q222" s="42">
        <v>249</v>
      </c>
      <c r="R222" s="42">
        <v>0</v>
      </c>
      <c r="S222" s="42">
        <v>249</v>
      </c>
      <c r="T222" s="410">
        <v>249</v>
      </c>
      <c r="U222" s="42">
        <v>1245</v>
      </c>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55">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09">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09">
        <f>IF(NFI_Expiration=1,IF($A222&lt;VLOOKUP(X$5,NFI,5,0),1,0)*Data_NFI_t[[#This Row],[Solar Lantern]],0)</f>
        <v>0</v>
      </c>
      <c r="AT222" s="105" t="str">
        <f ca="1">IFERROR(OFFSET(Camp_List[P_Code],MATCH(Data_NFI_t[[#This Row],[Camp Name]],Camp_List[Camp Name],0)-1,0,1,1),"")</f>
        <v>MMR012CMP111</v>
      </c>
      <c r="AU222" s="412" t="str">
        <f ca="1">IFERROR(OFFSET(Camp_List[Status],MATCH(Data_NFI_t[[#This Row],[Camp Name]],Camp_List[Camp Name],0)-1,0,1,1),"")</f>
        <v>Relocated</v>
      </c>
      <c r="AV222" s="105"/>
    </row>
    <row r="223" spans="1:48" s="78" customFormat="1" ht="19.5" customHeight="1" x14ac:dyDescent="0.25">
      <c r="A223" s="208">
        <f t="shared" ref="A223:A286" si="6">IF(ISBLANK(C223),"",(Report_Date-C223)/30)</f>
        <v>43.43333333333333</v>
      </c>
      <c r="B223" s="208">
        <f>YEAR(Data_NFI_t[[#This Row],[Distribution Date]])</f>
        <v>2015</v>
      </c>
      <c r="C223" s="719">
        <v>42131</v>
      </c>
      <c r="D223" s="395" t="s">
        <v>270</v>
      </c>
      <c r="E223" s="394" t="s">
        <v>575</v>
      </c>
      <c r="F223" s="395" t="s">
        <v>7</v>
      </c>
      <c r="G223" s="646" t="s">
        <v>17</v>
      </c>
      <c r="H223" s="646" t="s">
        <v>66</v>
      </c>
      <c r="I223" s="646"/>
      <c r="J223" s="646"/>
      <c r="K223" s="646"/>
      <c r="L223" s="42">
        <v>2145</v>
      </c>
      <c r="M223" s="42"/>
      <c r="N223" s="42">
        <v>4290</v>
      </c>
      <c r="O223" s="42">
        <v>2145</v>
      </c>
      <c r="P223" s="42">
        <v>4290</v>
      </c>
      <c r="Q223" s="42">
        <v>2145</v>
      </c>
      <c r="R223" s="42"/>
      <c r="S223" s="42">
        <v>2145</v>
      </c>
      <c r="T223" s="410">
        <v>2145</v>
      </c>
      <c r="U223" s="42">
        <v>10725</v>
      </c>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55">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09">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09">
        <f>IF(NFI_Expiration=1,IF($A223&lt;VLOOKUP(X$5,NFI,5,0),1,0)*Data_NFI_t[[#This Row],[Solar Lantern]],0)</f>
        <v>0</v>
      </c>
      <c r="AT223" s="105" t="str">
        <f ca="1">IFERROR(OFFSET(Camp_List[P_Code],MATCH(Data_NFI_t[[#This Row],[Camp Name]],Camp_List[Camp Name],0)-1,0,1,1),"")</f>
        <v>MMR012CMP046</v>
      </c>
      <c r="AU223" s="412" t="str">
        <f ca="1">IFERROR(OFFSET(Camp_List[Status],MATCH(Data_NFI_t[[#This Row],[Camp Name]],Camp_List[Camp Name],0)-1,0,1,1),"")</f>
        <v>Open</v>
      </c>
      <c r="AV223" s="105"/>
    </row>
    <row r="224" spans="1:48" s="78" customFormat="1" ht="19.5" customHeight="1" x14ac:dyDescent="0.25">
      <c r="A224" s="208">
        <f t="shared" si="6"/>
        <v>43.466666666666669</v>
      </c>
      <c r="B224" s="208">
        <f>YEAR(Data_NFI_t[[#This Row],[Distribution Date]])</f>
        <v>2015</v>
      </c>
      <c r="C224" s="719">
        <v>42130</v>
      </c>
      <c r="D224" s="395" t="s">
        <v>273</v>
      </c>
      <c r="E224" s="394" t="s">
        <v>273</v>
      </c>
      <c r="F224" s="395" t="s">
        <v>7</v>
      </c>
      <c r="G224" s="646" t="s">
        <v>17</v>
      </c>
      <c r="H224" s="646" t="s">
        <v>61</v>
      </c>
      <c r="I224" s="646">
        <v>0</v>
      </c>
      <c r="J224" s="646"/>
      <c r="K224" s="646"/>
      <c r="L224" s="42">
        <v>1364</v>
      </c>
      <c r="M224" s="42">
        <v>0</v>
      </c>
      <c r="N224" s="42">
        <v>2728</v>
      </c>
      <c r="O224" s="42">
        <v>1364</v>
      </c>
      <c r="P224" s="42">
        <v>2728</v>
      </c>
      <c r="Q224" s="42">
        <v>1364</v>
      </c>
      <c r="R224" s="42">
        <v>0</v>
      </c>
      <c r="S224" s="42">
        <v>1364</v>
      </c>
      <c r="T224" s="410">
        <v>1364</v>
      </c>
      <c r="U224" s="42">
        <v>6820</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55">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09">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09">
        <f>IF(NFI_Expiration=1,IF($A224&lt;VLOOKUP(X$5,NFI,5,0),1,0)*Data_NFI_t[[#This Row],[Solar Lantern]],0)</f>
        <v>0</v>
      </c>
      <c r="AT224" s="105" t="str">
        <f ca="1">IFERROR(OFFSET(Camp_List[P_Code],MATCH(Data_NFI_t[[#This Row],[Camp Name]],Camp_List[Camp Name],0)-1,0,1,1),"")</f>
        <v>MMR012CMP041</v>
      </c>
      <c r="AU224" s="412" t="str">
        <f ca="1">IFERROR(OFFSET(Camp_List[Status],MATCH(Data_NFI_t[[#This Row],[Camp Name]],Camp_List[Camp Name],0)-1,0,1,1),"")</f>
        <v>Open</v>
      </c>
      <c r="AV224" s="105"/>
    </row>
    <row r="225" spans="1:48" s="78" customFormat="1" ht="19.5" customHeight="1" x14ac:dyDescent="0.25">
      <c r="A225" s="208">
        <f t="shared" si="6"/>
        <v>43.5</v>
      </c>
      <c r="B225" s="208">
        <v>2015</v>
      </c>
      <c r="C225" s="719">
        <v>42129</v>
      </c>
      <c r="D225" s="395" t="s">
        <v>270</v>
      </c>
      <c r="E225" s="394" t="s">
        <v>270</v>
      </c>
      <c r="F225" s="395" t="s">
        <v>7</v>
      </c>
      <c r="G225" s="646" t="s">
        <v>15</v>
      </c>
      <c r="H225" s="646" t="s">
        <v>560</v>
      </c>
      <c r="I225" s="646">
        <v>0</v>
      </c>
      <c r="J225" s="646"/>
      <c r="K225" s="646"/>
      <c r="L225" s="42">
        <v>7</v>
      </c>
      <c r="M225" s="42">
        <v>7</v>
      </c>
      <c r="N225" s="42">
        <v>14</v>
      </c>
      <c r="O225" s="42">
        <v>5</v>
      </c>
      <c r="P225" s="42">
        <v>14</v>
      </c>
      <c r="Q225" s="42">
        <v>5</v>
      </c>
      <c r="R225" s="42">
        <v>0</v>
      </c>
      <c r="S225" s="42">
        <v>7</v>
      </c>
      <c r="T225" s="410">
        <v>7</v>
      </c>
      <c r="U225" s="42">
        <v>21</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55">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09">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09">
        <f>IF(NFI_Expiration=1,IF($A225&lt;VLOOKUP(X$5,NFI,5,0),1,0)*Data_NFI_t[[#This Row],[Solar Lantern]],0)</f>
        <v>0</v>
      </c>
      <c r="AT225" s="105" t="str">
        <f ca="1">IFERROR(OFFSET(Camp_List[P_Code],MATCH(Data_NFI_t[[#This Row],[Camp Name]],Camp_List[Camp Name],0)-1,0,1,1),"")</f>
        <v/>
      </c>
      <c r="AU225" s="412" t="str">
        <f ca="1">IFERROR(OFFSET(Camp_List[Status],MATCH(Data_NFI_t[[#This Row],[Camp Name]],Camp_List[Camp Name],0)-1,0,1,1),"")</f>
        <v/>
      </c>
      <c r="AV225" s="105"/>
    </row>
    <row r="226" spans="1:48" s="78" customFormat="1" ht="19.5" customHeight="1" x14ac:dyDescent="0.25">
      <c r="A226" s="208">
        <f t="shared" si="6"/>
        <v>43.766666666666666</v>
      </c>
      <c r="B226" s="208">
        <f>YEAR(Data_NFI_t[[#This Row],[Distribution Date]])</f>
        <v>2015</v>
      </c>
      <c r="C226" s="719">
        <v>42121</v>
      </c>
      <c r="D226" s="395" t="s">
        <v>270</v>
      </c>
      <c r="E226" s="394" t="s">
        <v>270</v>
      </c>
      <c r="F226" s="395" t="s">
        <v>7</v>
      </c>
      <c r="G226" s="646" t="s">
        <v>17</v>
      </c>
      <c r="H226" s="646" t="s">
        <v>591</v>
      </c>
      <c r="I226" s="646">
        <v>0</v>
      </c>
      <c r="J226" s="646"/>
      <c r="K226" s="646"/>
      <c r="L226" s="42"/>
      <c r="M226" s="42">
        <v>0</v>
      </c>
      <c r="N226" s="42">
        <v>836</v>
      </c>
      <c r="O226" s="42">
        <v>418</v>
      </c>
      <c r="P226" s="42">
        <v>836</v>
      </c>
      <c r="Q226" s="42">
        <v>418</v>
      </c>
      <c r="R226" s="42">
        <v>0</v>
      </c>
      <c r="S226" s="42">
        <v>418</v>
      </c>
      <c r="T226" s="410">
        <v>418</v>
      </c>
      <c r="U226" s="42">
        <v>2090</v>
      </c>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55">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09">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09">
        <f>IF(NFI_Expiration=1,IF($A226&lt;VLOOKUP(X$5,NFI,5,0),1,0)*Data_NFI_t[[#This Row],[Solar Lantern]],0)</f>
        <v>0</v>
      </c>
      <c r="AT226" s="105" t="str">
        <f ca="1">IFERROR(OFFSET(Camp_List[P_Code],MATCH(Data_NFI_t[[#This Row],[Camp Name]],Camp_List[Camp Name],0)-1,0,1,1),"")</f>
        <v>MMR012CMP112</v>
      </c>
      <c r="AU226" s="412" t="str">
        <f ca="1">IFERROR(OFFSET(Camp_List[Status],MATCH(Data_NFI_t[[#This Row],[Camp Name]],Camp_List[Camp Name],0)-1,0,1,1),"")</f>
        <v>Relocated</v>
      </c>
      <c r="AV226" s="105"/>
    </row>
    <row r="227" spans="1:48" s="78" customFormat="1" ht="19.5" customHeight="1" x14ac:dyDescent="0.25">
      <c r="A227" s="208">
        <f t="shared" si="6"/>
        <v>43.766666666666666</v>
      </c>
      <c r="B227" s="208">
        <f>YEAR(Data_NFI_t[[#This Row],[Distribution Date]])</f>
        <v>2015</v>
      </c>
      <c r="C227" s="719">
        <v>42121</v>
      </c>
      <c r="D227" s="395" t="s">
        <v>270</v>
      </c>
      <c r="E227" s="394" t="s">
        <v>575</v>
      </c>
      <c r="F227" s="395" t="s">
        <v>7</v>
      </c>
      <c r="G227" s="646" t="s">
        <v>17</v>
      </c>
      <c r="H227" s="646" t="s">
        <v>76</v>
      </c>
      <c r="I227" s="646"/>
      <c r="J227" s="646"/>
      <c r="K227" s="646"/>
      <c r="L227" s="42">
        <v>72</v>
      </c>
      <c r="M227" s="42"/>
      <c r="N227" s="42">
        <v>144</v>
      </c>
      <c r="O227" s="42">
        <v>72</v>
      </c>
      <c r="P227" s="42">
        <v>144</v>
      </c>
      <c r="Q227" s="42">
        <v>72</v>
      </c>
      <c r="R227" s="42"/>
      <c r="S227" s="42">
        <v>72</v>
      </c>
      <c r="T227" s="410">
        <v>72</v>
      </c>
      <c r="U227" s="42">
        <v>360</v>
      </c>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55">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09">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09">
        <f>IF(NFI_Expiration=1,IF($A227&lt;VLOOKUP(X$5,NFI,5,0),1,0)*Data_NFI_t[[#This Row],[Solar Lantern]],0)</f>
        <v>0</v>
      </c>
      <c r="AT227" s="105" t="str">
        <f ca="1">IFERROR(OFFSET(Camp_List[P_Code],MATCH(Data_NFI_t[[#This Row],[Camp Name]],Camp_List[Camp Name],0)-1,0,1,1),"")</f>
        <v>MMR012CMP056</v>
      </c>
      <c r="AU227" s="412" t="str">
        <f ca="1">IFERROR(OFFSET(Camp_List[Status],MATCH(Data_NFI_t[[#This Row],[Camp Name]],Camp_List[Camp Name],0)-1,0,1,1),"")</f>
        <v>Relocated</v>
      </c>
      <c r="AV227" s="105"/>
    </row>
    <row r="228" spans="1:48" s="78" customFormat="1" ht="19.5" customHeight="1" x14ac:dyDescent="0.25">
      <c r="A228" s="208">
        <f t="shared" si="6"/>
        <v>43.766666666666666</v>
      </c>
      <c r="B228" s="208">
        <f>YEAR(Data_NFI_t[[#This Row],[Distribution Date]])</f>
        <v>2015</v>
      </c>
      <c r="C228" s="719">
        <v>42121</v>
      </c>
      <c r="D228" s="395" t="s">
        <v>270</v>
      </c>
      <c r="E228" s="394" t="s">
        <v>575</v>
      </c>
      <c r="F228" s="395" t="s">
        <v>7</v>
      </c>
      <c r="G228" s="646" t="s">
        <v>17</v>
      </c>
      <c r="H228" s="646" t="s">
        <v>232</v>
      </c>
      <c r="I228" s="646"/>
      <c r="J228" s="646"/>
      <c r="K228" s="646"/>
      <c r="L228" s="42">
        <v>151</v>
      </c>
      <c r="M228" s="42"/>
      <c r="N228" s="42">
        <v>302</v>
      </c>
      <c r="O228" s="42">
        <v>151</v>
      </c>
      <c r="P228" s="42">
        <v>302</v>
      </c>
      <c r="Q228" s="42">
        <v>151</v>
      </c>
      <c r="R228" s="42"/>
      <c r="S228" s="42">
        <v>151</v>
      </c>
      <c r="T228" s="410">
        <v>151</v>
      </c>
      <c r="U228" s="42">
        <v>755</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55">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09">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09">
        <f>IF(NFI_Expiration=1,IF($A228&lt;VLOOKUP(X$5,NFI,5,0),1,0)*Data_NFI_t[[#This Row],[Solar Lantern]],0)</f>
        <v>0</v>
      </c>
      <c r="AT228" s="105" t="str">
        <f ca="1">IFERROR(OFFSET(Camp_List[P_Code],MATCH(Data_NFI_t[[#This Row],[Camp Name]],Camp_List[Camp Name],0)-1,0,1,1),"")</f>
        <v/>
      </c>
      <c r="AU228" s="412" t="str">
        <f ca="1">IFERROR(OFFSET(Camp_List[Status],MATCH(Data_NFI_t[[#This Row],[Camp Name]],Camp_List[Camp Name],0)-1,0,1,1),"")</f>
        <v/>
      </c>
      <c r="AV228" s="105"/>
    </row>
    <row r="229" spans="1:48" s="78" customFormat="1" ht="19.5" customHeight="1" x14ac:dyDescent="0.25">
      <c r="A229" s="208">
        <f t="shared" si="6"/>
        <v>45.2</v>
      </c>
      <c r="B229" s="208">
        <f>YEAR(Data_NFI_t[[#This Row],[Distribution Date]])</f>
        <v>2015</v>
      </c>
      <c r="C229" s="719">
        <v>42078</v>
      </c>
      <c r="D229" s="395" t="s">
        <v>473</v>
      </c>
      <c r="E229" s="394" t="s">
        <v>473</v>
      </c>
      <c r="F229" s="395" t="s">
        <v>7</v>
      </c>
      <c r="G229" s="646" t="s">
        <v>17</v>
      </c>
      <c r="H229" s="646" t="s">
        <v>68</v>
      </c>
      <c r="I229" s="646">
        <v>1020</v>
      </c>
      <c r="J229" s="646"/>
      <c r="K229" s="646"/>
      <c r="L229" s="42"/>
      <c r="M229" s="42"/>
      <c r="N229" s="42"/>
      <c r="O229" s="42"/>
      <c r="P229" s="42"/>
      <c r="Q229" s="42"/>
      <c r="R229" s="42"/>
      <c r="S229" s="42"/>
      <c r="T229" s="410"/>
      <c r="U229" s="42"/>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55">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09">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09">
        <f>IF(NFI_Expiration=1,IF($A229&lt;VLOOKUP(X$5,NFI,5,0),1,0)*Data_NFI_t[[#This Row],[Solar Lantern]],0)</f>
        <v>0</v>
      </c>
      <c r="AT229" s="105" t="str">
        <f ca="1">IFERROR(OFFSET(Camp_List[P_Code],MATCH(Data_NFI_t[[#This Row],[Camp Name]],Camp_List[Camp Name],0)-1,0,1,1),"")</f>
        <v>MMR012CMP048</v>
      </c>
      <c r="AU229" s="412" t="str">
        <f ca="1">IFERROR(OFFSET(Camp_List[Status],MATCH(Data_NFI_t[[#This Row],[Camp Name]],Camp_List[Camp Name],0)-1,0,1,1),"")</f>
        <v>Open</v>
      </c>
      <c r="AV229" s="105"/>
    </row>
    <row r="230" spans="1:48" s="78" customFormat="1" ht="19.5" customHeight="1" x14ac:dyDescent="0.25">
      <c r="A230" s="208">
        <f t="shared" si="6"/>
        <v>45.533333333333331</v>
      </c>
      <c r="B230" s="208">
        <v>2015</v>
      </c>
      <c r="C230" s="719">
        <v>42068</v>
      </c>
      <c r="D230" s="395" t="s">
        <v>270</v>
      </c>
      <c r="E230" s="394" t="s">
        <v>270</v>
      </c>
      <c r="F230" s="395" t="s">
        <v>7</v>
      </c>
      <c r="G230" s="646" t="s">
        <v>18</v>
      </c>
      <c r="H230" s="646" t="s">
        <v>103</v>
      </c>
      <c r="I230" s="646">
        <v>0</v>
      </c>
      <c r="J230" s="646"/>
      <c r="K230" s="646"/>
      <c r="L230" s="42">
        <v>43</v>
      </c>
      <c r="M230" s="42">
        <v>43</v>
      </c>
      <c r="N230" s="42">
        <v>86</v>
      </c>
      <c r="O230" s="42">
        <v>0</v>
      </c>
      <c r="P230" s="42">
        <v>86</v>
      </c>
      <c r="Q230" s="42">
        <v>33</v>
      </c>
      <c r="R230" s="42">
        <v>0</v>
      </c>
      <c r="S230" s="42">
        <v>43</v>
      </c>
      <c r="T230" s="410">
        <v>43</v>
      </c>
      <c r="U230" s="42">
        <v>165</v>
      </c>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55">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09">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09">
        <f>IF(NFI_Expiration=1,IF($A230&lt;VLOOKUP(X$5,NFI,5,0),1,0)*Data_NFI_t[[#This Row],[Solar Lantern]],0)</f>
        <v>0</v>
      </c>
      <c r="AT230" s="105" t="str">
        <f ca="1">IFERROR(OFFSET(Camp_List[P_Code],MATCH(Data_NFI_t[[#This Row],[Camp Name]],Camp_List[Camp Name],0)-1,0,1,1),"")</f>
        <v/>
      </c>
      <c r="AU230" s="412" t="str">
        <f ca="1">IFERROR(OFFSET(Camp_List[Status],MATCH(Data_NFI_t[[#This Row],[Camp Name]],Camp_List[Camp Name],0)-1,0,1,1),"")</f>
        <v/>
      </c>
      <c r="AV230" s="105"/>
    </row>
    <row r="231" spans="1:48" s="78" customFormat="1" ht="19.5" customHeight="1" x14ac:dyDescent="0.25">
      <c r="A231" s="208">
        <f t="shared" si="6"/>
        <v>45.666666666666664</v>
      </c>
      <c r="B231" s="208">
        <f>YEAR(Data_NFI_t[[#This Row],[Distribution Date]])</f>
        <v>2015</v>
      </c>
      <c r="C231" s="719">
        <v>42064</v>
      </c>
      <c r="D231" s="395" t="s">
        <v>658</v>
      </c>
      <c r="E231" s="394" t="s">
        <v>658</v>
      </c>
      <c r="F231" s="395" t="s">
        <v>7</v>
      </c>
      <c r="G231" s="646" t="s">
        <v>814</v>
      </c>
      <c r="H231" s="646" t="s">
        <v>35</v>
      </c>
      <c r="I231" s="646">
        <v>42</v>
      </c>
      <c r="J231" s="646"/>
      <c r="K231" s="646"/>
      <c r="L231" s="42"/>
      <c r="M231" s="42"/>
      <c r="N231" s="42"/>
      <c r="O231" s="42"/>
      <c r="P231" s="42"/>
      <c r="Q231" s="42"/>
      <c r="R231" s="42"/>
      <c r="S231" s="42"/>
      <c r="T231" s="410"/>
      <c r="U231" s="42"/>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55">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09">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09">
        <f>IF(NFI_Expiration=1,IF($A231&lt;VLOOKUP(X$5,NFI,5,0),1,0)*Data_NFI_t[[#This Row],[Solar Lantern]],0)</f>
        <v>0</v>
      </c>
      <c r="AT231" s="105" t="str">
        <f ca="1">IFERROR(OFFSET(Camp_List[P_Code],MATCH(Data_NFI_t[[#This Row],[Camp Name]],Camp_List[Camp Name],0)-1,0,1,1),"")</f>
        <v>MMR012CMP013</v>
      </c>
      <c r="AU231" s="412" t="str">
        <f ca="1">IFERROR(OFFSET(Camp_List[Status],MATCH(Data_NFI_t[[#This Row],[Camp Name]],Camp_List[Camp Name],0)-1,0,1,1),"")</f>
        <v>Relocated</v>
      </c>
      <c r="AV231" s="105"/>
    </row>
    <row r="232" spans="1:48" s="78" customFormat="1" ht="19.5" customHeight="1" x14ac:dyDescent="0.25">
      <c r="A232" s="208">
        <f t="shared" si="6"/>
        <v>45.666666666666664</v>
      </c>
      <c r="B232" s="208">
        <f>YEAR(Data_NFI_t[[#This Row],[Distribution Date]])</f>
        <v>2015</v>
      </c>
      <c r="C232" s="719">
        <v>42064</v>
      </c>
      <c r="D232" s="395" t="s">
        <v>658</v>
      </c>
      <c r="E232" s="394" t="s">
        <v>658</v>
      </c>
      <c r="F232" s="395" t="s">
        <v>7</v>
      </c>
      <c r="G232" s="646" t="s">
        <v>814</v>
      </c>
      <c r="H232" s="646" t="s">
        <v>36</v>
      </c>
      <c r="I232" s="646">
        <v>682</v>
      </c>
      <c r="J232" s="646"/>
      <c r="K232" s="646"/>
      <c r="L232" s="42"/>
      <c r="M232" s="42"/>
      <c r="N232" s="42"/>
      <c r="O232" s="42"/>
      <c r="P232" s="42"/>
      <c r="Q232" s="42"/>
      <c r="R232" s="42"/>
      <c r="S232" s="42"/>
      <c r="T232" s="410"/>
      <c r="U232" s="42"/>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55">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09">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09">
        <f>IF(NFI_Expiration=1,IF($A232&lt;VLOOKUP(X$5,NFI,5,0),1,0)*Data_NFI_t[[#This Row],[Solar Lantern]],0)</f>
        <v>0</v>
      </c>
      <c r="AT232" s="105" t="str">
        <f ca="1">IFERROR(OFFSET(Camp_List[P_Code],MATCH(Data_NFI_t[[#This Row],[Camp Name]],Camp_List[Camp Name],0)-1,0,1,1),"")</f>
        <v>MMR012CMP014</v>
      </c>
      <c r="AU232" s="412" t="str">
        <f ca="1">IFERROR(OFFSET(Camp_List[Status],MATCH(Data_NFI_t[[#This Row],[Camp Name]],Camp_List[Camp Name],0)-1,0,1,1),"")</f>
        <v>Open</v>
      </c>
      <c r="AV232" s="105"/>
    </row>
    <row r="233" spans="1:48" s="78" customFormat="1" ht="19.5" customHeight="1" x14ac:dyDescent="0.25">
      <c r="A233" s="208">
        <f t="shared" si="6"/>
        <v>45.966666666666669</v>
      </c>
      <c r="B233" s="208">
        <f>YEAR(Data_NFI_t[[#This Row],[Distribution Date]])</f>
        <v>2015</v>
      </c>
      <c r="C233" s="719">
        <v>42055</v>
      </c>
      <c r="D233" s="395" t="s">
        <v>476</v>
      </c>
      <c r="E233" s="394" t="s">
        <v>476</v>
      </c>
      <c r="F233" s="395" t="s">
        <v>7</v>
      </c>
      <c r="G233" s="646" t="s">
        <v>17</v>
      </c>
      <c r="H233" s="646" t="s">
        <v>590</v>
      </c>
      <c r="I233" s="646">
        <v>249</v>
      </c>
      <c r="J233" s="646"/>
      <c r="K233" s="646"/>
      <c r="L233" s="42"/>
      <c r="M233" s="42"/>
      <c r="N233" s="42"/>
      <c r="O233" s="42"/>
      <c r="P233" s="42"/>
      <c r="Q233" s="42"/>
      <c r="R233" s="42"/>
      <c r="S233" s="42"/>
      <c r="T233" s="410"/>
      <c r="U233" s="42"/>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55">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09">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09">
        <f>IF(NFI_Expiration=1,IF($A233&lt;VLOOKUP(X$5,NFI,5,0),1,0)*Data_NFI_t[[#This Row],[Solar Lantern]],0)</f>
        <v>0</v>
      </c>
      <c r="AT233" s="105" t="str">
        <f ca="1">IFERROR(OFFSET(Camp_List[P_Code],MATCH(Data_NFI_t[[#This Row],[Camp Name]],Camp_List[Camp Name],0)-1,0,1,1),"")</f>
        <v>MMR012CMP111</v>
      </c>
      <c r="AU233" s="412" t="str">
        <f ca="1">IFERROR(OFFSET(Camp_List[Status],MATCH(Data_NFI_t[[#This Row],[Camp Name]],Camp_List[Camp Name],0)-1,0,1,1),"")</f>
        <v>Relocated</v>
      </c>
      <c r="AV233" s="105"/>
    </row>
    <row r="234" spans="1:48" s="78" customFormat="1" ht="19.5" customHeight="1" x14ac:dyDescent="0.25">
      <c r="A234" s="208">
        <f t="shared" si="6"/>
        <v>46.6</v>
      </c>
      <c r="B234" s="208">
        <f>YEAR(Data_NFI_t[[#This Row],[Distribution Date]])</f>
        <v>2015</v>
      </c>
      <c r="C234" s="719">
        <v>42036</v>
      </c>
      <c r="D234" s="395" t="s">
        <v>658</v>
      </c>
      <c r="E234" s="394" t="s">
        <v>658</v>
      </c>
      <c r="F234" s="395" t="s">
        <v>7</v>
      </c>
      <c r="G234" s="646" t="s">
        <v>814</v>
      </c>
      <c r="H234" s="646" t="s">
        <v>35</v>
      </c>
      <c r="I234" s="646">
        <v>42</v>
      </c>
      <c r="J234" s="646"/>
      <c r="K234" s="646"/>
      <c r="L234" s="42"/>
      <c r="M234" s="42"/>
      <c r="N234" s="42"/>
      <c r="O234" s="42"/>
      <c r="P234" s="42"/>
      <c r="Q234" s="42"/>
      <c r="R234" s="42"/>
      <c r="S234" s="42"/>
      <c r="T234" s="410"/>
      <c r="U234" s="42"/>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55">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09">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09">
        <f>IF(NFI_Expiration=1,IF($A234&lt;VLOOKUP(X$5,NFI,5,0),1,0)*Data_NFI_t[[#This Row],[Solar Lantern]],0)</f>
        <v>0</v>
      </c>
      <c r="AT234" s="105" t="str">
        <f ca="1">IFERROR(OFFSET(Camp_List[P_Code],MATCH(Data_NFI_t[[#This Row],[Camp Name]],Camp_List[Camp Name],0)-1,0,1,1),"")</f>
        <v>MMR012CMP013</v>
      </c>
      <c r="AU234" s="412" t="str">
        <f ca="1">IFERROR(OFFSET(Camp_List[Status],MATCH(Data_NFI_t[[#This Row],[Camp Name]],Camp_List[Camp Name],0)-1,0,1,1),"")</f>
        <v>Relocated</v>
      </c>
      <c r="AV234" s="105"/>
    </row>
    <row r="235" spans="1:48" s="78" customFormat="1" ht="19.5" customHeight="1" x14ac:dyDescent="0.25">
      <c r="A235" s="208">
        <f t="shared" si="6"/>
        <v>46.6</v>
      </c>
      <c r="B235" s="208">
        <f>YEAR(Data_NFI_t[[#This Row],[Distribution Date]])</f>
        <v>2015</v>
      </c>
      <c r="C235" s="719">
        <v>42036</v>
      </c>
      <c r="D235" s="395" t="s">
        <v>658</v>
      </c>
      <c r="E235" s="394" t="s">
        <v>658</v>
      </c>
      <c r="F235" s="395" t="s">
        <v>7</v>
      </c>
      <c r="G235" s="646" t="s">
        <v>814</v>
      </c>
      <c r="H235" s="646" t="s">
        <v>36</v>
      </c>
      <c r="I235" s="646">
        <v>682</v>
      </c>
      <c r="J235" s="646"/>
      <c r="K235" s="646"/>
      <c r="L235" s="42"/>
      <c r="M235" s="42"/>
      <c r="N235" s="42"/>
      <c r="O235" s="42"/>
      <c r="P235" s="42"/>
      <c r="Q235" s="42"/>
      <c r="R235" s="42"/>
      <c r="S235" s="42"/>
      <c r="T235" s="410"/>
      <c r="U235" s="42"/>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55">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09">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09">
        <f>IF(NFI_Expiration=1,IF($A235&lt;VLOOKUP(X$5,NFI,5,0),1,0)*Data_NFI_t[[#This Row],[Solar Lantern]],0)</f>
        <v>0</v>
      </c>
      <c r="AT235" s="105" t="str">
        <f ca="1">IFERROR(OFFSET(Camp_List[P_Code],MATCH(Data_NFI_t[[#This Row],[Camp Name]],Camp_List[Camp Name],0)-1,0,1,1),"")</f>
        <v>MMR012CMP014</v>
      </c>
      <c r="AU235" s="412" t="str">
        <f ca="1">IFERROR(OFFSET(Camp_List[Status],MATCH(Data_NFI_t[[#This Row],[Camp Name]],Camp_List[Camp Name],0)-1,0,1,1),"")</f>
        <v>Open</v>
      </c>
      <c r="AV235" s="105"/>
    </row>
    <row r="236" spans="1:48" s="78" customFormat="1" ht="19.5" customHeight="1" x14ac:dyDescent="0.25">
      <c r="A236" s="208">
        <f t="shared" si="6"/>
        <v>46.7</v>
      </c>
      <c r="B236" s="208">
        <f>YEAR(Data_NFI_t[[#This Row],[Distribution Date]])</f>
        <v>2015</v>
      </c>
      <c r="C236" s="719">
        <v>42033</v>
      </c>
      <c r="D236" s="395" t="s">
        <v>270</v>
      </c>
      <c r="E236" s="394" t="s">
        <v>270</v>
      </c>
      <c r="F236" s="395" t="s">
        <v>7</v>
      </c>
      <c r="G236" s="646" t="s">
        <v>13</v>
      </c>
      <c r="H236" s="646" t="s">
        <v>40</v>
      </c>
      <c r="I236" s="646"/>
      <c r="J236" s="646"/>
      <c r="K236" s="646"/>
      <c r="L236" s="42">
        <v>101</v>
      </c>
      <c r="M236" s="42"/>
      <c r="N236" s="42">
        <v>1888</v>
      </c>
      <c r="O236" s="42">
        <v>944</v>
      </c>
      <c r="P236" s="42">
        <v>1888</v>
      </c>
      <c r="Q236" s="42">
        <v>944</v>
      </c>
      <c r="R236" s="42"/>
      <c r="S236" s="42">
        <v>944</v>
      </c>
      <c r="T236" s="410">
        <v>944</v>
      </c>
      <c r="U236" s="42">
        <v>4720</v>
      </c>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55">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09">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09">
        <f>IF(NFI_Expiration=1,IF($A236&lt;VLOOKUP(X$5,NFI,5,0),1,0)*Data_NFI_t[[#This Row],[Solar Lantern]],0)</f>
        <v>0</v>
      </c>
      <c r="AT236" s="105" t="str">
        <f ca="1">IFERROR(OFFSET(Camp_List[P_Code],MATCH(Data_NFI_t[[#This Row],[Camp Name]],Camp_List[Camp Name],0)-1,0,1,1),"")</f>
        <v>MMR012CMP018</v>
      </c>
      <c r="AU236" s="412" t="str">
        <f ca="1">IFERROR(OFFSET(Camp_List[Status],MATCH(Data_NFI_t[[#This Row],[Camp Name]],Camp_List[Camp Name],0)-1,0,1,1),"")</f>
        <v>Open</v>
      </c>
      <c r="AV236" s="105"/>
    </row>
    <row r="237" spans="1:48" s="78" customFormat="1" ht="19.5" customHeight="1" x14ac:dyDescent="0.25">
      <c r="A237" s="208">
        <f t="shared" si="6"/>
        <v>46.966666666666669</v>
      </c>
      <c r="B237" s="208">
        <v>2015</v>
      </c>
      <c r="C237" s="719">
        <v>42025</v>
      </c>
      <c r="D237" s="395" t="s">
        <v>270</v>
      </c>
      <c r="E237" s="394" t="s">
        <v>270</v>
      </c>
      <c r="F237" s="395" t="s">
        <v>7</v>
      </c>
      <c r="G237" s="646" t="s">
        <v>15</v>
      </c>
      <c r="H237" s="646" t="s">
        <v>560</v>
      </c>
      <c r="I237" s="646">
        <v>0</v>
      </c>
      <c r="J237" s="646"/>
      <c r="K237" s="646"/>
      <c r="L237" s="42">
        <v>0</v>
      </c>
      <c r="M237" s="42">
        <v>0</v>
      </c>
      <c r="N237" s="42">
        <v>0</v>
      </c>
      <c r="O237" s="42">
        <v>0</v>
      </c>
      <c r="P237" s="42">
        <v>700</v>
      </c>
      <c r="Q237" s="42">
        <v>0</v>
      </c>
      <c r="R237" s="42">
        <v>0</v>
      </c>
      <c r="S237" s="42">
        <v>350</v>
      </c>
      <c r="T237" s="410">
        <v>0</v>
      </c>
      <c r="U237" s="42">
        <v>1120</v>
      </c>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55">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09">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09">
        <f>IF(NFI_Expiration=1,IF($A237&lt;VLOOKUP(X$5,NFI,5,0),1,0)*Data_NFI_t[[#This Row],[Solar Lantern]],0)</f>
        <v>0</v>
      </c>
      <c r="AT237" s="105" t="str">
        <f ca="1">IFERROR(OFFSET(Camp_List[P_Code],MATCH(Data_NFI_t[[#This Row],[Camp Name]],Camp_List[Camp Name],0)-1,0,1,1),"")</f>
        <v/>
      </c>
      <c r="AU237" s="412" t="str">
        <f ca="1">IFERROR(OFFSET(Camp_List[Status],MATCH(Data_NFI_t[[#This Row],[Camp Name]],Camp_List[Camp Name],0)-1,0,1,1),"")</f>
        <v/>
      </c>
      <c r="AV237" s="105"/>
    </row>
    <row r="238" spans="1:48" s="78" customFormat="1" ht="19.5" customHeight="1" x14ac:dyDescent="0.25">
      <c r="A238" s="208">
        <f t="shared" si="6"/>
        <v>46.966666666666669</v>
      </c>
      <c r="B238" s="208">
        <v>2015</v>
      </c>
      <c r="C238" s="719">
        <v>42025</v>
      </c>
      <c r="D238" s="395" t="s">
        <v>270</v>
      </c>
      <c r="E238" s="394" t="s">
        <v>270</v>
      </c>
      <c r="F238" s="395" t="s">
        <v>7</v>
      </c>
      <c r="G238" s="646" t="s">
        <v>15</v>
      </c>
      <c r="H238" s="646" t="s">
        <v>382</v>
      </c>
      <c r="I238" s="646">
        <v>0</v>
      </c>
      <c r="J238" s="646"/>
      <c r="K238" s="646"/>
      <c r="L238" s="42">
        <v>0</v>
      </c>
      <c r="M238" s="42">
        <v>0</v>
      </c>
      <c r="N238" s="42">
        <v>0</v>
      </c>
      <c r="O238" s="42">
        <v>0</v>
      </c>
      <c r="P238" s="42">
        <v>534</v>
      </c>
      <c r="Q238" s="42">
        <v>0</v>
      </c>
      <c r="R238" s="42">
        <v>0</v>
      </c>
      <c r="S238" s="42">
        <v>267</v>
      </c>
      <c r="T238" s="410"/>
      <c r="U238" s="42">
        <v>1010</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55">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09">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09">
        <f>IF(NFI_Expiration=1,IF($A238&lt;VLOOKUP(X$5,NFI,5,0),1,0)*Data_NFI_t[[#This Row],[Solar Lantern]],0)</f>
        <v>0</v>
      </c>
      <c r="AT238" s="105" t="str">
        <f ca="1">IFERROR(OFFSET(Camp_List[P_Code],MATCH(Data_NFI_t[[#This Row],[Camp Name]],Camp_List[Camp Name],0)-1,0,1,1),"")</f>
        <v/>
      </c>
      <c r="AU238" s="412" t="str">
        <f ca="1">IFERROR(OFFSET(Camp_List[Status],MATCH(Data_NFI_t[[#This Row],[Camp Name]],Camp_List[Camp Name],0)-1,0,1,1),"")</f>
        <v/>
      </c>
      <c r="AV238" s="105"/>
    </row>
    <row r="239" spans="1:48" s="78" customFormat="1" ht="19.5" customHeight="1" x14ac:dyDescent="0.25">
      <c r="A239" s="208">
        <f t="shared" si="6"/>
        <v>47.466666666666669</v>
      </c>
      <c r="B239" s="208">
        <v>2015</v>
      </c>
      <c r="C239" s="719">
        <v>42010</v>
      </c>
      <c r="D239" s="395" t="s">
        <v>270</v>
      </c>
      <c r="E239" s="394" t="s">
        <v>270</v>
      </c>
      <c r="F239" s="395" t="s">
        <v>7</v>
      </c>
      <c r="G239" s="646" t="s">
        <v>18</v>
      </c>
      <c r="H239" s="646" t="s">
        <v>820</v>
      </c>
      <c r="I239" s="646">
        <v>16</v>
      </c>
      <c r="J239" s="646"/>
      <c r="K239" s="646"/>
      <c r="L239" s="42">
        <v>16</v>
      </c>
      <c r="M239" s="42">
        <v>16</v>
      </c>
      <c r="N239" s="42">
        <v>32</v>
      </c>
      <c r="O239" s="42">
        <v>0</v>
      </c>
      <c r="P239" s="42">
        <v>32</v>
      </c>
      <c r="Q239" s="42">
        <v>8</v>
      </c>
      <c r="R239" s="42">
        <v>0</v>
      </c>
      <c r="S239" s="42">
        <v>16</v>
      </c>
      <c r="T239" s="410">
        <v>16</v>
      </c>
      <c r="U239" s="42">
        <v>40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55">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09">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09">
        <f>IF(NFI_Expiration=1,IF($A239&lt;VLOOKUP(X$5,NFI,5,0),1,0)*Data_NFI_t[[#This Row],[Solar Lantern]],0)</f>
        <v>0</v>
      </c>
      <c r="AT239" s="105" t="str">
        <f ca="1">IFERROR(OFFSET(Camp_List[P_Code],MATCH(Data_NFI_t[[#This Row],[Camp Name]],Camp_List[Camp Name],0)-1,0,1,1),"")</f>
        <v/>
      </c>
      <c r="AU239" s="412" t="str">
        <f ca="1">IFERROR(OFFSET(Camp_List[Status],MATCH(Data_NFI_t[[#This Row],[Camp Name]],Camp_List[Camp Name],0)-1,0,1,1),"")</f>
        <v/>
      </c>
      <c r="AV239" s="105"/>
    </row>
    <row r="240" spans="1:48" s="78" customFormat="1" ht="19.5" customHeight="1" x14ac:dyDescent="0.25">
      <c r="A240" s="208">
        <f t="shared" si="6"/>
        <v>47.466666666666669</v>
      </c>
      <c r="B240" s="208">
        <v>2015</v>
      </c>
      <c r="C240" s="719">
        <v>42010</v>
      </c>
      <c r="D240" s="395" t="s">
        <v>270</v>
      </c>
      <c r="E240" s="394" t="s">
        <v>270</v>
      </c>
      <c r="F240" s="395" t="s">
        <v>7</v>
      </c>
      <c r="G240" s="646" t="s">
        <v>18</v>
      </c>
      <c r="H240" s="646" t="s">
        <v>104</v>
      </c>
      <c r="I240" s="646">
        <v>36</v>
      </c>
      <c r="J240" s="646"/>
      <c r="K240" s="646"/>
      <c r="L240" s="42">
        <v>36</v>
      </c>
      <c r="M240" s="42">
        <v>36</v>
      </c>
      <c r="N240" s="42">
        <v>72</v>
      </c>
      <c r="O240" s="42">
        <v>0</v>
      </c>
      <c r="P240" s="42">
        <v>72</v>
      </c>
      <c r="Q240" s="42">
        <v>19</v>
      </c>
      <c r="R240" s="42">
        <v>0</v>
      </c>
      <c r="S240" s="42">
        <v>36</v>
      </c>
      <c r="T240" s="410">
        <v>36</v>
      </c>
      <c r="U240" s="42">
        <v>95</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55">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09">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09">
        <f>IF(NFI_Expiration=1,IF($A240&lt;VLOOKUP(X$5,NFI,5,0),1,0)*Data_NFI_t[[#This Row],[Solar Lantern]],0)</f>
        <v>0</v>
      </c>
      <c r="AT240" s="105" t="str">
        <f ca="1">IFERROR(OFFSET(Camp_List[P_Code],MATCH(Data_NFI_t[[#This Row],[Camp Name]],Camp_List[Camp Name],0)-1,0,1,1),"")</f>
        <v/>
      </c>
      <c r="AU240" s="412" t="str">
        <f ca="1">IFERROR(OFFSET(Camp_List[Status],MATCH(Data_NFI_t[[#This Row],[Camp Name]],Camp_List[Camp Name],0)-1,0,1,1),"")</f>
        <v/>
      </c>
      <c r="AV240" s="105"/>
    </row>
    <row r="241" spans="1:48" s="78" customFormat="1" ht="19.5" customHeight="1" x14ac:dyDescent="0.25">
      <c r="A241" s="208">
        <f t="shared" si="6"/>
        <v>47.466666666666669</v>
      </c>
      <c r="B241" s="208">
        <v>2015</v>
      </c>
      <c r="C241" s="719">
        <v>42010</v>
      </c>
      <c r="D241" s="395" t="s">
        <v>270</v>
      </c>
      <c r="E241" s="394" t="s">
        <v>270</v>
      </c>
      <c r="F241" s="395" t="s">
        <v>7</v>
      </c>
      <c r="G241" s="646" t="s">
        <v>18</v>
      </c>
      <c r="H241" s="646" t="s">
        <v>872</v>
      </c>
      <c r="I241" s="646">
        <v>39</v>
      </c>
      <c r="J241" s="646"/>
      <c r="K241" s="646"/>
      <c r="L241" s="42">
        <v>39</v>
      </c>
      <c r="M241" s="42">
        <v>39</v>
      </c>
      <c r="N241" s="42">
        <v>78</v>
      </c>
      <c r="O241" s="42">
        <v>0</v>
      </c>
      <c r="P241" s="42">
        <v>78</v>
      </c>
      <c r="Q241" s="42">
        <v>28</v>
      </c>
      <c r="R241" s="42">
        <v>0</v>
      </c>
      <c r="S241" s="42">
        <v>39</v>
      </c>
      <c r="T241" s="410">
        <v>39</v>
      </c>
      <c r="U241" s="42">
        <v>40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55">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09">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09">
        <f>IF(NFI_Expiration=1,IF($A241&lt;VLOOKUP(X$5,NFI,5,0),1,0)*Data_NFI_t[[#This Row],[Solar Lantern]],0)</f>
        <v>0</v>
      </c>
      <c r="AT241" s="105" t="str">
        <f ca="1">IFERROR(OFFSET(Camp_List[P_Code],MATCH(Data_NFI_t[[#This Row],[Camp Name]],Camp_List[Camp Name],0)-1,0,1,1),"")</f>
        <v/>
      </c>
      <c r="AU241" s="412" t="str">
        <f ca="1">IFERROR(OFFSET(Camp_List[Status],MATCH(Data_NFI_t[[#This Row],[Camp Name]],Camp_List[Camp Name],0)-1,0,1,1),"")</f>
        <v/>
      </c>
      <c r="AV241" s="105"/>
    </row>
    <row r="242" spans="1:48" s="78" customFormat="1" ht="19.5" customHeight="1" x14ac:dyDescent="0.25">
      <c r="A242" s="208">
        <f t="shared" si="6"/>
        <v>47.633333333333333</v>
      </c>
      <c r="B242" s="208">
        <f>YEAR(Data_NFI_t[[#This Row],[Distribution Date]])</f>
        <v>2015</v>
      </c>
      <c r="C242" s="719">
        <v>42005</v>
      </c>
      <c r="D242" s="395" t="s">
        <v>658</v>
      </c>
      <c r="E242" s="394" t="s">
        <v>658</v>
      </c>
      <c r="F242" s="395" t="s">
        <v>7</v>
      </c>
      <c r="G242" s="646" t="s">
        <v>814</v>
      </c>
      <c r="H242" s="646" t="s">
        <v>35</v>
      </c>
      <c r="I242" s="646">
        <v>42</v>
      </c>
      <c r="J242" s="646"/>
      <c r="K242" s="646"/>
      <c r="L242" s="42"/>
      <c r="M242" s="42"/>
      <c r="N242" s="42"/>
      <c r="O242" s="42"/>
      <c r="P242" s="42"/>
      <c r="Q242" s="42"/>
      <c r="R242" s="42"/>
      <c r="S242" s="42"/>
      <c r="T242" s="410"/>
      <c r="U242" s="42"/>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55">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09">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09">
        <f>IF(NFI_Expiration=1,IF($A242&lt;VLOOKUP(X$5,NFI,5,0),1,0)*Data_NFI_t[[#This Row],[Solar Lantern]],0)</f>
        <v>0</v>
      </c>
      <c r="AT242" s="105" t="str">
        <f ca="1">IFERROR(OFFSET(Camp_List[P_Code],MATCH(Data_NFI_t[[#This Row],[Camp Name]],Camp_List[Camp Name],0)-1,0,1,1),"")</f>
        <v>MMR012CMP013</v>
      </c>
      <c r="AU242" s="412" t="str">
        <f ca="1">IFERROR(OFFSET(Camp_List[Status],MATCH(Data_NFI_t[[#This Row],[Camp Name]],Camp_List[Camp Name],0)-1,0,1,1),"")</f>
        <v>Relocated</v>
      </c>
      <c r="AV242" s="105"/>
    </row>
    <row r="243" spans="1:48" s="78" customFormat="1" ht="19.5" customHeight="1" x14ac:dyDescent="0.25">
      <c r="A243" s="208">
        <f t="shared" si="6"/>
        <v>47.633333333333333</v>
      </c>
      <c r="B243" s="208">
        <f>YEAR(Data_NFI_t[[#This Row],[Distribution Date]])</f>
        <v>2015</v>
      </c>
      <c r="C243" s="719">
        <v>42005</v>
      </c>
      <c r="D243" s="395" t="s">
        <v>658</v>
      </c>
      <c r="E243" s="394" t="s">
        <v>658</v>
      </c>
      <c r="F243" s="395" t="s">
        <v>7</v>
      </c>
      <c r="G243" s="646" t="s">
        <v>814</v>
      </c>
      <c r="H243" s="646" t="s">
        <v>36</v>
      </c>
      <c r="I243" s="646">
        <v>682</v>
      </c>
      <c r="J243" s="646"/>
      <c r="K243" s="646"/>
      <c r="L243" s="42"/>
      <c r="M243" s="42"/>
      <c r="N243" s="42"/>
      <c r="O243" s="42"/>
      <c r="P243" s="42"/>
      <c r="Q243" s="42"/>
      <c r="R243" s="42"/>
      <c r="S243" s="42"/>
      <c r="T243" s="410"/>
      <c r="U243" s="42"/>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55">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09">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09">
        <f>IF(NFI_Expiration=1,IF($A243&lt;VLOOKUP(X$5,NFI,5,0),1,0)*Data_NFI_t[[#This Row],[Solar Lantern]],0)</f>
        <v>0</v>
      </c>
      <c r="AT243" s="105" t="str">
        <f ca="1">IFERROR(OFFSET(Camp_List[P_Code],MATCH(Data_NFI_t[[#This Row],[Camp Name]],Camp_List[Camp Name],0)-1,0,1,1),"")</f>
        <v>MMR012CMP014</v>
      </c>
      <c r="AU243" s="412" t="str">
        <f ca="1">IFERROR(OFFSET(Camp_List[Status],MATCH(Data_NFI_t[[#This Row],[Camp Name]],Camp_List[Camp Name],0)-1,0,1,1),"")</f>
        <v>Open</v>
      </c>
      <c r="AV243" s="105"/>
    </row>
    <row r="244" spans="1:48" s="78" customFormat="1" ht="19.5" customHeight="1" x14ac:dyDescent="0.25">
      <c r="A244" s="208">
        <f t="shared" si="6"/>
        <v>47.93333333333333</v>
      </c>
      <c r="B244" s="208">
        <f>YEAR(Data_NFI_t[[#This Row],[Distribution Date]])</f>
        <v>2014</v>
      </c>
      <c r="C244" s="719">
        <v>41996</v>
      </c>
      <c r="D244" s="395" t="s">
        <v>270</v>
      </c>
      <c r="E244" s="394" t="s">
        <v>270</v>
      </c>
      <c r="F244" s="395" t="s">
        <v>7</v>
      </c>
      <c r="G244" s="646" t="s">
        <v>18</v>
      </c>
      <c r="H244" s="646" t="s">
        <v>101</v>
      </c>
      <c r="I244" s="646">
        <v>27</v>
      </c>
      <c r="J244" s="646"/>
      <c r="K244" s="646"/>
      <c r="L244" s="42">
        <v>27</v>
      </c>
      <c r="M244" s="42">
        <v>27</v>
      </c>
      <c r="N244" s="42">
        <v>54</v>
      </c>
      <c r="O244" s="42">
        <v>0</v>
      </c>
      <c r="P244" s="42">
        <v>54</v>
      </c>
      <c r="Q244" s="42">
        <v>17</v>
      </c>
      <c r="R244" s="42">
        <v>0</v>
      </c>
      <c r="S244" s="42">
        <v>27</v>
      </c>
      <c r="T244" s="410"/>
      <c r="U244" s="42">
        <v>85</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55">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09">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09">
        <f>IF(NFI_Expiration=1,IF($A244&lt;VLOOKUP(X$5,NFI,5,0),1,0)*Data_NFI_t[[#This Row],[Solar Lantern]],0)</f>
        <v>0</v>
      </c>
      <c r="AT244" s="105" t="str">
        <f ca="1">IFERROR(OFFSET(Camp_List[P_Code],MATCH(Data_NFI_t[[#This Row],[Camp Name]],Camp_List[Camp Name],0)-1,0,1,1),"")</f>
        <v>MMR012CMP082</v>
      </c>
      <c r="AU244" s="412" t="str">
        <f ca="1">IFERROR(OFFSET(Camp_List[Status],MATCH(Data_NFI_t[[#This Row],[Camp Name]],Camp_List[Camp Name],0)-1,0,1,1),"")</f>
        <v>Returned</v>
      </c>
      <c r="AV244" s="105"/>
    </row>
    <row r="245" spans="1:48" s="78" customFormat="1" ht="19.5" customHeight="1" x14ac:dyDescent="0.25">
      <c r="A245" s="208">
        <f t="shared" si="6"/>
        <v>48.1</v>
      </c>
      <c r="B245" s="208">
        <f>YEAR(Data_NFI_t[[#This Row],[Distribution Date]])</f>
        <v>2014</v>
      </c>
      <c r="C245" s="719">
        <v>41991</v>
      </c>
      <c r="D245" s="395" t="s">
        <v>270</v>
      </c>
      <c r="E245" s="394" t="s">
        <v>270</v>
      </c>
      <c r="F245" s="395" t="s">
        <v>7</v>
      </c>
      <c r="G245" s="646" t="s">
        <v>18</v>
      </c>
      <c r="H245" s="646" t="s">
        <v>105</v>
      </c>
      <c r="I245" s="646">
        <v>108</v>
      </c>
      <c r="J245" s="646"/>
      <c r="K245" s="646"/>
      <c r="L245" s="42">
        <v>108</v>
      </c>
      <c r="M245" s="42">
        <v>108</v>
      </c>
      <c r="N245" s="42">
        <v>216</v>
      </c>
      <c r="O245" s="42">
        <v>0</v>
      </c>
      <c r="P245" s="42">
        <v>216</v>
      </c>
      <c r="Q245" s="42">
        <v>68</v>
      </c>
      <c r="R245" s="42">
        <v>0</v>
      </c>
      <c r="S245" s="42">
        <v>108</v>
      </c>
      <c r="T245" s="410"/>
      <c r="U245" s="42">
        <v>340</v>
      </c>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55">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09">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09">
        <f>IF(NFI_Expiration=1,IF($A245&lt;VLOOKUP(X$5,NFI,5,0),1,0)*Data_NFI_t[[#This Row],[Solar Lantern]],0)</f>
        <v>0</v>
      </c>
      <c r="AT245" s="105" t="str">
        <f ca="1">IFERROR(OFFSET(Camp_List[P_Code],MATCH(Data_NFI_t[[#This Row],[Camp Name]],Camp_List[Camp Name],0)-1,0,1,1),"")</f>
        <v/>
      </c>
      <c r="AU245" s="412" t="str">
        <f ca="1">IFERROR(OFFSET(Camp_List[Status],MATCH(Data_NFI_t[[#This Row],[Camp Name]],Camp_List[Camp Name],0)-1,0,1,1),"")</f>
        <v/>
      </c>
      <c r="AV245" s="105"/>
    </row>
    <row r="246" spans="1:48" s="78" customFormat="1" ht="19.5" customHeight="1" x14ac:dyDescent="0.25">
      <c r="A246" s="208">
        <f t="shared" si="6"/>
        <v>48.1</v>
      </c>
      <c r="B246" s="208">
        <f>YEAR(Data_NFI_t[[#This Row],[Distribution Date]])</f>
        <v>2014</v>
      </c>
      <c r="C246" s="719">
        <v>41991</v>
      </c>
      <c r="D246" s="395" t="s">
        <v>270</v>
      </c>
      <c r="E246" s="394" t="s">
        <v>270</v>
      </c>
      <c r="F246" s="395" t="s">
        <v>7</v>
      </c>
      <c r="G246" s="646" t="s">
        <v>18</v>
      </c>
      <c r="H246" s="646" t="s">
        <v>821</v>
      </c>
      <c r="I246" s="646">
        <v>164</v>
      </c>
      <c r="J246" s="646"/>
      <c r="K246" s="646"/>
      <c r="L246" s="42">
        <v>164</v>
      </c>
      <c r="M246" s="42">
        <v>164</v>
      </c>
      <c r="N246" s="42">
        <v>328</v>
      </c>
      <c r="O246" s="42">
        <v>0</v>
      </c>
      <c r="P246" s="42">
        <v>328</v>
      </c>
      <c r="Q246" s="42">
        <v>92</v>
      </c>
      <c r="R246" s="42">
        <v>0</v>
      </c>
      <c r="S246" s="42">
        <v>164</v>
      </c>
      <c r="T246" s="410"/>
      <c r="U246" s="42">
        <v>460</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55">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09">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09">
        <f>IF(NFI_Expiration=1,IF($A246&lt;VLOOKUP(X$5,NFI,5,0),1,0)*Data_NFI_t[[#This Row],[Solar Lantern]],0)</f>
        <v>0</v>
      </c>
      <c r="AT246" s="105" t="str">
        <f ca="1">IFERROR(OFFSET(Camp_List[P_Code],MATCH(Data_NFI_t[[#This Row],[Camp Name]],Camp_List[Camp Name],0)-1,0,1,1),"")</f>
        <v/>
      </c>
      <c r="AU246" s="412" t="str">
        <f ca="1">IFERROR(OFFSET(Camp_List[Status],MATCH(Data_NFI_t[[#This Row],[Camp Name]],Camp_List[Camp Name],0)-1,0,1,1),"")</f>
        <v/>
      </c>
      <c r="AV246" s="105"/>
    </row>
    <row r="247" spans="1:48" s="78" customFormat="1" ht="19.5" customHeight="1" x14ac:dyDescent="0.25">
      <c r="A247" s="208">
        <f t="shared" si="6"/>
        <v>48.133333333333333</v>
      </c>
      <c r="B247" s="208">
        <f>YEAR(Data_NFI_t[[#This Row],[Distribution Date]])</f>
        <v>2014</v>
      </c>
      <c r="C247" s="719">
        <v>41990</v>
      </c>
      <c r="D247" s="395" t="s">
        <v>270</v>
      </c>
      <c r="E247" s="394" t="s">
        <v>270</v>
      </c>
      <c r="F247" s="395" t="s">
        <v>7</v>
      </c>
      <c r="G247" s="646" t="s">
        <v>18</v>
      </c>
      <c r="H247" s="646" t="s">
        <v>819</v>
      </c>
      <c r="I247" s="646">
        <v>315</v>
      </c>
      <c r="J247" s="646"/>
      <c r="K247" s="646"/>
      <c r="L247" s="42">
        <v>315</v>
      </c>
      <c r="M247" s="42">
        <v>315</v>
      </c>
      <c r="N247" s="42">
        <v>630</v>
      </c>
      <c r="O247" s="42">
        <v>0</v>
      </c>
      <c r="P247" s="42">
        <v>630</v>
      </c>
      <c r="Q247" s="42">
        <v>186</v>
      </c>
      <c r="R247" s="42">
        <v>0</v>
      </c>
      <c r="S247" s="42">
        <v>315</v>
      </c>
      <c r="T247" s="410"/>
      <c r="U247" s="42">
        <v>930</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55">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09">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09">
        <f>IF(NFI_Expiration=1,IF($A247&lt;VLOOKUP(X$5,NFI,5,0),1,0)*Data_NFI_t[[#This Row],[Solar Lantern]],0)</f>
        <v>0</v>
      </c>
      <c r="AT247" s="105" t="str">
        <f ca="1">IFERROR(OFFSET(Camp_List[P_Code],MATCH(Data_NFI_t[[#This Row],[Camp Name]],Camp_List[Camp Name],0)-1,0,1,1),"")</f>
        <v/>
      </c>
      <c r="AU247" s="412" t="str">
        <f ca="1">IFERROR(OFFSET(Camp_List[Status],MATCH(Data_NFI_t[[#This Row],[Camp Name]],Camp_List[Camp Name],0)-1,0,1,1),"")</f>
        <v/>
      </c>
      <c r="AV247" s="105"/>
    </row>
    <row r="248" spans="1:48" s="78" customFormat="1" ht="19.5" customHeight="1" x14ac:dyDescent="0.25">
      <c r="A248" s="208">
        <f t="shared" si="6"/>
        <v>48.233333333333334</v>
      </c>
      <c r="B248" s="208">
        <f>YEAR(Data_NFI_t[[#This Row],[Distribution Date]])</f>
        <v>2014</v>
      </c>
      <c r="C248" s="719">
        <v>41987</v>
      </c>
      <c r="D248" s="395" t="s">
        <v>270</v>
      </c>
      <c r="E248" s="394" t="s">
        <v>270</v>
      </c>
      <c r="F248" s="395" t="s">
        <v>7</v>
      </c>
      <c r="G248" s="646" t="s">
        <v>18</v>
      </c>
      <c r="H248" s="646" t="s">
        <v>569</v>
      </c>
      <c r="I248" s="646">
        <v>170</v>
      </c>
      <c r="J248" s="646"/>
      <c r="K248" s="646"/>
      <c r="L248" s="42">
        <v>170</v>
      </c>
      <c r="M248" s="42">
        <v>170</v>
      </c>
      <c r="N248" s="42">
        <v>338</v>
      </c>
      <c r="O248" s="42">
        <v>0</v>
      </c>
      <c r="P248" s="42">
        <v>338</v>
      </c>
      <c r="Q248" s="42">
        <v>110</v>
      </c>
      <c r="R248" s="42">
        <v>0</v>
      </c>
      <c r="S248" s="42">
        <v>170</v>
      </c>
      <c r="T248" s="410"/>
      <c r="U248" s="42">
        <v>550</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55">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09">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09">
        <f>IF(NFI_Expiration=1,IF($A248&lt;VLOOKUP(X$5,NFI,5,0),1,0)*Data_NFI_t[[#This Row],[Solar Lantern]],0)</f>
        <v>0</v>
      </c>
      <c r="AT248" s="105" t="str">
        <f ca="1">IFERROR(OFFSET(Camp_List[P_Code],MATCH(Data_NFI_t[[#This Row],[Camp Name]],Camp_List[Camp Name],0)-1,0,1,1),"")</f>
        <v/>
      </c>
      <c r="AU248" s="412" t="str">
        <f ca="1">IFERROR(OFFSET(Camp_List[Status],MATCH(Data_NFI_t[[#This Row],[Camp Name]],Camp_List[Camp Name],0)-1,0,1,1),"")</f>
        <v/>
      </c>
      <c r="AV248" s="105"/>
    </row>
    <row r="249" spans="1:48" s="78" customFormat="1" ht="19.5" customHeight="1" x14ac:dyDescent="0.25">
      <c r="A249" s="208">
        <f t="shared" si="6"/>
        <v>51.133333333333333</v>
      </c>
      <c r="B249" s="208">
        <f>YEAR(Data_NFI_t[[#This Row],[Distribution Date]])</f>
        <v>2014</v>
      </c>
      <c r="C249" s="719">
        <v>41900</v>
      </c>
      <c r="D249" s="395" t="s">
        <v>270</v>
      </c>
      <c r="E249" s="394" t="s">
        <v>270</v>
      </c>
      <c r="F249" s="395" t="s">
        <v>7</v>
      </c>
      <c r="G249" s="646" t="s">
        <v>15</v>
      </c>
      <c r="H249" s="646" t="s">
        <v>55</v>
      </c>
      <c r="I249" s="646">
        <v>349</v>
      </c>
      <c r="J249" s="646"/>
      <c r="K249" s="646"/>
      <c r="L249" s="42">
        <v>349</v>
      </c>
      <c r="M249" s="42">
        <v>349</v>
      </c>
      <c r="N249" s="42">
        <v>698</v>
      </c>
      <c r="O249" s="42">
        <v>250</v>
      </c>
      <c r="P249" s="42">
        <v>698</v>
      </c>
      <c r="Q249" s="42">
        <v>250</v>
      </c>
      <c r="R249" s="42">
        <v>0</v>
      </c>
      <c r="S249" s="42">
        <v>349</v>
      </c>
      <c r="T249" s="410"/>
      <c r="U249" s="42">
        <v>1250</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55">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09">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09">
        <f>IF(NFI_Expiration=1,IF($A249&lt;VLOOKUP(X$5,NFI,5,0),1,0)*Data_NFI_t[[#This Row],[Solar Lantern]],0)</f>
        <v>0</v>
      </c>
      <c r="AT249" s="105" t="str">
        <f ca="1">IFERROR(OFFSET(Camp_List[P_Code],MATCH(Data_NFI_t[[#This Row],[Camp Name]],Camp_List[Camp Name],0)-1,0,1,1),"")</f>
        <v/>
      </c>
      <c r="AU249" s="412" t="str">
        <f ca="1">IFERROR(OFFSET(Camp_List[Status],MATCH(Data_NFI_t[[#This Row],[Camp Name]],Camp_List[Camp Name],0)-1,0,1,1),"")</f>
        <v/>
      </c>
      <c r="AV249" s="105"/>
    </row>
    <row r="250" spans="1:48" s="78" customFormat="1" ht="19.5" customHeight="1" x14ac:dyDescent="0.25">
      <c r="A250" s="208">
        <f t="shared" si="6"/>
        <v>51.166666666666664</v>
      </c>
      <c r="B250" s="208">
        <f>YEAR(Data_NFI_t[[#This Row],[Distribution Date]])</f>
        <v>2014</v>
      </c>
      <c r="C250" s="719">
        <v>41899</v>
      </c>
      <c r="D250" s="395" t="s">
        <v>270</v>
      </c>
      <c r="E250" s="394" t="s">
        <v>270</v>
      </c>
      <c r="F250" s="395" t="s">
        <v>7</v>
      </c>
      <c r="G250" s="646" t="s">
        <v>15</v>
      </c>
      <c r="H250" s="646" t="s">
        <v>54</v>
      </c>
      <c r="I250" s="646">
        <v>86</v>
      </c>
      <c r="J250" s="646"/>
      <c r="K250" s="646"/>
      <c r="L250" s="42">
        <v>86</v>
      </c>
      <c r="M250" s="42">
        <v>86</v>
      </c>
      <c r="N250" s="42">
        <v>170</v>
      </c>
      <c r="O250" s="42">
        <v>66</v>
      </c>
      <c r="P250" s="42">
        <v>170</v>
      </c>
      <c r="Q250" s="42">
        <v>66</v>
      </c>
      <c r="R250" s="42">
        <v>0</v>
      </c>
      <c r="S250" s="42">
        <v>86</v>
      </c>
      <c r="T250" s="410"/>
      <c r="U250" s="42">
        <v>330</v>
      </c>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55">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09">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09">
        <f>IF(NFI_Expiration=1,IF($A250&lt;VLOOKUP(X$5,NFI,5,0),1,0)*Data_NFI_t[[#This Row],[Solar Lantern]],0)</f>
        <v>0</v>
      </c>
      <c r="AT250" s="105" t="str">
        <f ca="1">IFERROR(OFFSET(Camp_List[P_Code],MATCH(Data_NFI_t[[#This Row],[Camp Name]],Camp_List[Camp Name],0)-1,0,1,1),"")</f>
        <v>MMR012CMP032</v>
      </c>
      <c r="AU250" s="412" t="str">
        <f ca="1">IFERROR(OFFSET(Camp_List[Status],MATCH(Data_NFI_t[[#This Row],[Camp Name]],Camp_List[Camp Name],0)-1,0,1,1),"")</f>
        <v>Returned</v>
      </c>
      <c r="AV250" s="105"/>
    </row>
    <row r="251" spans="1:48" s="78" customFormat="1" ht="19.5" customHeight="1" x14ac:dyDescent="0.25">
      <c r="A251" s="208">
        <f t="shared" si="6"/>
        <v>51.2</v>
      </c>
      <c r="B251" s="208">
        <f>YEAR(Data_NFI_t[[#This Row],[Distribution Date]])</f>
        <v>2014</v>
      </c>
      <c r="C251" s="719">
        <v>41898</v>
      </c>
      <c r="D251" s="395" t="s">
        <v>270</v>
      </c>
      <c r="E251" s="394" t="s">
        <v>270</v>
      </c>
      <c r="F251" s="395" t="s">
        <v>7</v>
      </c>
      <c r="G251" s="646" t="s">
        <v>15</v>
      </c>
      <c r="H251" s="646" t="s">
        <v>53</v>
      </c>
      <c r="I251" s="646">
        <v>102</v>
      </c>
      <c r="J251" s="646"/>
      <c r="K251" s="646"/>
      <c r="L251" s="42">
        <v>102</v>
      </c>
      <c r="M251" s="42">
        <v>102</v>
      </c>
      <c r="N251" s="42">
        <v>206</v>
      </c>
      <c r="O251" s="42">
        <v>66</v>
      </c>
      <c r="P251" s="42">
        <v>206</v>
      </c>
      <c r="Q251" s="42">
        <v>66</v>
      </c>
      <c r="R251" s="42">
        <v>0</v>
      </c>
      <c r="S251" s="42">
        <v>102</v>
      </c>
      <c r="T251" s="410"/>
      <c r="U251" s="42">
        <v>330</v>
      </c>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55">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09">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09">
        <f>IF(NFI_Expiration=1,IF($A251&lt;VLOOKUP(X$5,NFI,5,0),1,0)*Data_NFI_t[[#This Row],[Solar Lantern]],0)</f>
        <v>0</v>
      </c>
      <c r="AT251" s="105" t="str">
        <f ca="1">IFERROR(OFFSET(Camp_List[P_Code],MATCH(Data_NFI_t[[#This Row],[Camp Name]],Camp_List[Camp Name],0)-1,0,1,1),"")</f>
        <v>MMR012CMP031</v>
      </c>
      <c r="AU251" s="412" t="str">
        <f ca="1">IFERROR(OFFSET(Camp_List[Status],MATCH(Data_NFI_t[[#This Row],[Camp Name]],Camp_List[Camp Name],0)-1,0,1,1),"")</f>
        <v>Returned</v>
      </c>
      <c r="AV251" s="105"/>
    </row>
    <row r="252" spans="1:48" s="78" customFormat="1" ht="19.5" customHeight="1" x14ac:dyDescent="0.25">
      <c r="A252" s="208">
        <f t="shared" si="6"/>
        <v>51.833333333333336</v>
      </c>
      <c r="B252" s="208">
        <f>YEAR(Data_NFI_t[[#This Row],[Distribution Date]])</f>
        <v>2014</v>
      </c>
      <c r="C252" s="719">
        <v>41879</v>
      </c>
      <c r="D252" s="395" t="s">
        <v>273</v>
      </c>
      <c r="E252" s="394" t="s">
        <v>273</v>
      </c>
      <c r="F252" s="395" t="s">
        <v>7</v>
      </c>
      <c r="G252" s="646" t="s">
        <v>17</v>
      </c>
      <c r="H252" s="646" t="s">
        <v>582</v>
      </c>
      <c r="I252" s="646"/>
      <c r="J252" s="646"/>
      <c r="K252" s="646"/>
      <c r="L252" s="42"/>
      <c r="M252" s="42"/>
      <c r="N252" s="42">
        <v>2624</v>
      </c>
      <c r="O252" s="42">
        <v>1312</v>
      </c>
      <c r="P252" s="42">
        <v>2624</v>
      </c>
      <c r="Q252" s="42">
        <v>1312</v>
      </c>
      <c r="R252" s="42"/>
      <c r="S252" s="42">
        <v>1312</v>
      </c>
      <c r="T252" s="410"/>
      <c r="U252" s="42">
        <v>3936</v>
      </c>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55">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09">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09">
        <f>IF(NFI_Expiration=1,IF($A252&lt;VLOOKUP(X$5,NFI,5,0),1,0)*Data_NFI_t[[#This Row],[Solar Lantern]],0)</f>
        <v>0</v>
      </c>
      <c r="AT252" s="105" t="str">
        <f ca="1">IFERROR(OFFSET(Camp_List[P_Code],MATCH(Data_NFI_t[[#This Row],[Camp Name]],Camp_List[Camp Name],0)-1,0,1,1),"")</f>
        <v>MMR012CMP114</v>
      </c>
      <c r="AU252" s="412" t="str">
        <f ca="1">IFERROR(OFFSET(Camp_List[Status],MATCH(Data_NFI_t[[#This Row],[Camp Name]],Camp_List[Camp Name],0)-1,0,1,1),"")</f>
        <v>Open</v>
      </c>
      <c r="AV252" s="105"/>
    </row>
    <row r="253" spans="1:48" s="78" customFormat="1" ht="19.5" customHeight="1" x14ac:dyDescent="0.25">
      <c r="A253" s="208">
        <f t="shared" si="6"/>
        <v>51.9</v>
      </c>
      <c r="B253" s="208">
        <f>YEAR(Data_NFI_t[[#This Row],[Distribution Date]])</f>
        <v>2014</v>
      </c>
      <c r="C253" s="719">
        <v>41877</v>
      </c>
      <c r="D253" s="395" t="s">
        <v>273</v>
      </c>
      <c r="E253" s="394" t="s">
        <v>273</v>
      </c>
      <c r="F253" s="395" t="s">
        <v>7</v>
      </c>
      <c r="G253" s="646" t="s">
        <v>17</v>
      </c>
      <c r="H253" s="646" t="s">
        <v>581</v>
      </c>
      <c r="I253" s="646"/>
      <c r="J253" s="646"/>
      <c r="K253" s="646"/>
      <c r="L253" s="42"/>
      <c r="M253" s="42"/>
      <c r="N253" s="42">
        <v>2020</v>
      </c>
      <c r="O253" s="42">
        <v>1010</v>
      </c>
      <c r="P253" s="42">
        <v>2020</v>
      </c>
      <c r="Q253" s="42">
        <v>1010</v>
      </c>
      <c r="R253" s="42"/>
      <c r="S253" s="42">
        <v>1010</v>
      </c>
      <c r="T253" s="410"/>
      <c r="U253" s="42">
        <v>3030</v>
      </c>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55">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09">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09">
        <f>IF(NFI_Expiration=1,IF($A253&lt;VLOOKUP(X$5,NFI,5,0),1,0)*Data_NFI_t[[#This Row],[Solar Lantern]],0)</f>
        <v>0</v>
      </c>
      <c r="AT253" s="105" t="str">
        <f ca="1">IFERROR(OFFSET(Camp_List[P_Code],MATCH(Data_NFI_t[[#This Row],[Camp Name]],Camp_List[Camp Name],0)-1,0,1,1),"")</f>
        <v>MMR012CMP113</v>
      </c>
      <c r="AU253" s="412" t="str">
        <f ca="1">IFERROR(OFFSET(Camp_List[Status],MATCH(Data_NFI_t[[#This Row],[Camp Name]],Camp_List[Camp Name],0)-1,0,1,1),"")</f>
        <v>Open</v>
      </c>
      <c r="AV253" s="105"/>
    </row>
    <row r="254" spans="1:48" s="78" customFormat="1" ht="19.5" customHeight="1" x14ac:dyDescent="0.25">
      <c r="A254" s="208">
        <f t="shared" si="6"/>
        <v>52.3</v>
      </c>
      <c r="B254" s="208">
        <f>YEAR(Data_NFI_t[[#This Row],[Distribution Date]])</f>
        <v>2014</v>
      </c>
      <c r="C254" s="719">
        <v>41865</v>
      </c>
      <c r="D254" s="395" t="s">
        <v>575</v>
      </c>
      <c r="E254" s="394" t="s">
        <v>575</v>
      </c>
      <c r="F254" s="395" t="s">
        <v>7</v>
      </c>
      <c r="G254" s="646" t="s">
        <v>17</v>
      </c>
      <c r="H254" s="646" t="s">
        <v>76</v>
      </c>
      <c r="I254" s="646"/>
      <c r="J254" s="646"/>
      <c r="K254" s="646"/>
      <c r="L254" s="42"/>
      <c r="M254" s="42"/>
      <c r="N254" s="42">
        <v>2</v>
      </c>
      <c r="O254" s="42">
        <v>1</v>
      </c>
      <c r="P254" s="42">
        <v>2</v>
      </c>
      <c r="Q254" s="42">
        <v>1</v>
      </c>
      <c r="R254" s="42"/>
      <c r="S254" s="42">
        <v>1</v>
      </c>
      <c r="T254" s="410"/>
      <c r="U254" s="42">
        <v>5</v>
      </c>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55">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709">
        <f>IF(NFI_Expiration=1,IF($A254&lt;VLOOKUP(U$5,NFI,5,0),1,0)*Data_NFI_t[[#This Row],[Plastic Mat]],0)</f>
        <v>0</v>
      </c>
      <c r="AP254" s="709">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09">
        <f>IF(NFI_Expiration=1,IF($A254&lt;VLOOKUP(X$5,NFI,5,0),1,0)*Data_NFI_t[[#This Row],[Solar Lantern]],0)</f>
        <v>0</v>
      </c>
      <c r="AT254" s="105" t="str">
        <f ca="1">IFERROR(OFFSET(Camp_List[P_Code],MATCH(Data_NFI_t[[#This Row],[Camp Name]],Camp_List[Camp Name],0)-1,0,1,1),"")</f>
        <v>MMR012CMP056</v>
      </c>
      <c r="AU254" s="412" t="str">
        <f ca="1">IFERROR(OFFSET(Camp_List[Status],MATCH(Data_NFI_t[[#This Row],[Camp Name]],Camp_List[Camp Name],0)-1,0,1,1),"")</f>
        <v>Relocated</v>
      </c>
      <c r="AV254" s="105"/>
    </row>
    <row r="255" spans="1:48" s="78" customFormat="1" ht="19.5" customHeight="1" x14ac:dyDescent="0.25">
      <c r="A255" s="208">
        <f t="shared" si="6"/>
        <v>52.3</v>
      </c>
      <c r="B255" s="208">
        <f>YEAR(Data_NFI_t[[#This Row],[Distribution Date]])</f>
        <v>2014</v>
      </c>
      <c r="C255" s="719">
        <v>41865</v>
      </c>
      <c r="D255" s="395" t="s">
        <v>575</v>
      </c>
      <c r="E255" s="394" t="s">
        <v>575</v>
      </c>
      <c r="F255" s="395" t="s">
        <v>7</v>
      </c>
      <c r="G255" s="646" t="s">
        <v>17</v>
      </c>
      <c r="H255" s="646" t="s">
        <v>232</v>
      </c>
      <c r="I255" s="646"/>
      <c r="J255" s="646"/>
      <c r="K255" s="646"/>
      <c r="L255" s="42"/>
      <c r="M255" s="42"/>
      <c r="N255" s="42">
        <v>2</v>
      </c>
      <c r="O255" s="42">
        <v>1</v>
      </c>
      <c r="P255" s="42">
        <v>2</v>
      </c>
      <c r="Q255" s="42">
        <v>1</v>
      </c>
      <c r="R255" s="42"/>
      <c r="S255" s="42">
        <v>1</v>
      </c>
      <c r="T255" s="410"/>
      <c r="U255" s="42">
        <v>5</v>
      </c>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55">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709">
        <f>IF(NFI_Expiration=1,IF($A255&lt;VLOOKUP(U$5,NFI,5,0),1,0)*Data_NFI_t[[#This Row],[Plastic Mat]],0)</f>
        <v>0</v>
      </c>
      <c r="AP255" s="709">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09">
        <f>IF(NFI_Expiration=1,IF($A255&lt;VLOOKUP(X$5,NFI,5,0),1,0)*Data_NFI_t[[#This Row],[Solar Lantern]],0)</f>
        <v>0</v>
      </c>
      <c r="AT255" s="105" t="str">
        <f ca="1">IFERROR(OFFSET(Camp_List[P_Code],MATCH(Data_NFI_t[[#This Row],[Camp Name]],Camp_List[Camp Name],0)-1,0,1,1),"")</f>
        <v/>
      </c>
      <c r="AU255" s="412" t="str">
        <f ca="1">IFERROR(OFFSET(Camp_List[Status],MATCH(Data_NFI_t[[#This Row],[Camp Name]],Camp_List[Camp Name],0)-1,0,1,1),"")</f>
        <v/>
      </c>
      <c r="AV255" s="105"/>
    </row>
    <row r="256" spans="1:48" s="78" customFormat="1" ht="19.5" customHeight="1" x14ac:dyDescent="0.25">
      <c r="A256" s="208">
        <f t="shared" si="6"/>
        <v>52.733333333333334</v>
      </c>
      <c r="B256" s="208">
        <f>YEAR(Data_NFI_t[[#This Row],[Distribution Date]])</f>
        <v>2014</v>
      </c>
      <c r="C256" s="719">
        <v>41852</v>
      </c>
      <c r="D256" s="395" t="s">
        <v>825</v>
      </c>
      <c r="E256" s="394" t="s">
        <v>825</v>
      </c>
      <c r="F256" s="395" t="s">
        <v>7</v>
      </c>
      <c r="G256" s="646" t="s">
        <v>13</v>
      </c>
      <c r="H256" s="646" t="s">
        <v>38</v>
      </c>
      <c r="I256" s="646"/>
      <c r="J256" s="646"/>
      <c r="K256" s="646"/>
      <c r="L256" s="42"/>
      <c r="M256" s="42"/>
      <c r="N256" s="42"/>
      <c r="O256" s="42"/>
      <c r="P256" s="42"/>
      <c r="Q256" s="42"/>
      <c r="R256" s="42">
        <v>1128</v>
      </c>
      <c r="S256" s="42"/>
      <c r="T256" s="410"/>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55">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09">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09">
        <f>IF(NFI_Expiration=1,IF($A256&lt;VLOOKUP(X$5,NFI,5,0),1,0)*Data_NFI_t[[#This Row],[Solar Lantern]],0)</f>
        <v>0</v>
      </c>
      <c r="AT256" s="105" t="str">
        <f ca="1">IFERROR(OFFSET(Camp_List[P_Code],MATCH(Data_NFI_t[[#This Row],[Camp Name]],Camp_List[Camp Name],0)-1,0,1,1),"")</f>
        <v>MMR012CMP016</v>
      </c>
      <c r="AU256" s="412" t="str">
        <f ca="1">IFERROR(OFFSET(Camp_List[Status],MATCH(Data_NFI_t[[#This Row],[Camp Name]],Camp_List[Camp Name],0)-1,0,1,1),"")</f>
        <v>Open</v>
      </c>
      <c r="AV256" s="105"/>
    </row>
    <row r="257" spans="1:48" s="78" customFormat="1" ht="19.5" customHeight="1" x14ac:dyDescent="0.25">
      <c r="A257" s="208">
        <f t="shared" si="6"/>
        <v>52.733333333333334</v>
      </c>
      <c r="B257" s="208">
        <f>YEAR(Data_NFI_t[[#This Row],[Distribution Date]])</f>
        <v>2014</v>
      </c>
      <c r="C257" s="719">
        <v>41852</v>
      </c>
      <c r="D257" s="395" t="s">
        <v>825</v>
      </c>
      <c r="E257" s="394" t="s">
        <v>825</v>
      </c>
      <c r="F257" s="395" t="s">
        <v>7</v>
      </c>
      <c r="G257" s="646" t="s">
        <v>13</v>
      </c>
      <c r="H257" s="646" t="s">
        <v>40</v>
      </c>
      <c r="I257" s="646"/>
      <c r="J257" s="646"/>
      <c r="K257" s="646"/>
      <c r="L257" s="42"/>
      <c r="M257" s="42"/>
      <c r="N257" s="42"/>
      <c r="O257" s="42"/>
      <c r="P257" s="42"/>
      <c r="Q257" s="42"/>
      <c r="R257" s="42">
        <v>959</v>
      </c>
      <c r="S257" s="42"/>
      <c r="T257" s="410"/>
      <c r="U257" s="42"/>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55">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09">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09">
        <f>IF(NFI_Expiration=1,IF($A257&lt;VLOOKUP(X$5,NFI,5,0),1,0)*Data_NFI_t[[#This Row],[Solar Lantern]],0)</f>
        <v>0</v>
      </c>
      <c r="AT257" s="105" t="str">
        <f ca="1">IFERROR(OFFSET(Camp_List[P_Code],MATCH(Data_NFI_t[[#This Row],[Camp Name]],Camp_List[Camp Name],0)-1,0,1,1),"")</f>
        <v>MMR012CMP018</v>
      </c>
      <c r="AU257" s="412" t="str">
        <f ca="1">IFERROR(OFFSET(Camp_List[Status],MATCH(Data_NFI_t[[#This Row],[Camp Name]],Camp_List[Camp Name],0)-1,0,1,1),"")</f>
        <v>Open</v>
      </c>
      <c r="AV257" s="105"/>
    </row>
    <row r="258" spans="1:48" s="78" customFormat="1" ht="19.5" customHeight="1" x14ac:dyDescent="0.25">
      <c r="A258" s="208">
        <f t="shared" si="6"/>
        <v>52.733333333333334</v>
      </c>
      <c r="B258" s="208">
        <f>YEAR(Data_NFI_t[[#This Row],[Distribution Date]])</f>
        <v>2014</v>
      </c>
      <c r="C258" s="719">
        <v>41852</v>
      </c>
      <c r="D258" s="395" t="s">
        <v>825</v>
      </c>
      <c r="E258" s="394" t="s">
        <v>825</v>
      </c>
      <c r="F258" s="395" t="s">
        <v>7</v>
      </c>
      <c r="G258" s="646" t="s">
        <v>13</v>
      </c>
      <c r="H258" s="646" t="s">
        <v>39</v>
      </c>
      <c r="I258" s="646"/>
      <c r="J258" s="646"/>
      <c r="K258" s="646"/>
      <c r="L258" s="42"/>
      <c r="M258" s="42"/>
      <c r="N258" s="42"/>
      <c r="O258" s="42"/>
      <c r="P258" s="42"/>
      <c r="Q258" s="42"/>
      <c r="R258" s="42">
        <v>1130</v>
      </c>
      <c r="S258" s="42"/>
      <c r="T258" s="410"/>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55">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09">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09">
        <f>IF(NFI_Expiration=1,IF($A258&lt;VLOOKUP(X$5,NFI,5,0),1,0)*Data_NFI_t[[#This Row],[Solar Lantern]],0)</f>
        <v>0</v>
      </c>
      <c r="AT258" s="105" t="str">
        <f ca="1">IFERROR(OFFSET(Camp_List[P_Code],MATCH(Data_NFI_t[[#This Row],[Camp Name]],Camp_List[Camp Name],0)-1,0,1,1),"")</f>
        <v/>
      </c>
      <c r="AU258" s="412" t="str">
        <f ca="1">IFERROR(OFFSET(Camp_List[Status],MATCH(Data_NFI_t[[#This Row],[Camp Name]],Camp_List[Camp Name],0)-1,0,1,1),"")</f>
        <v/>
      </c>
      <c r="AV258" s="105"/>
    </row>
    <row r="259" spans="1:48" s="78" customFormat="1" ht="19.5" customHeight="1" x14ac:dyDescent="0.25">
      <c r="A259" s="208">
        <f t="shared" si="6"/>
        <v>52.733333333333334</v>
      </c>
      <c r="B259" s="208">
        <f>YEAR(Data_NFI_t[[#This Row],[Distribution Date]])</f>
        <v>2014</v>
      </c>
      <c r="C259" s="719">
        <v>41852</v>
      </c>
      <c r="D259" s="395" t="s">
        <v>825</v>
      </c>
      <c r="E259" s="394" t="s">
        <v>825</v>
      </c>
      <c r="F259" s="395" t="s">
        <v>7</v>
      </c>
      <c r="G259" s="646" t="s">
        <v>13</v>
      </c>
      <c r="H259" s="646" t="s">
        <v>41</v>
      </c>
      <c r="I259" s="646"/>
      <c r="J259" s="646"/>
      <c r="K259" s="646"/>
      <c r="L259" s="42"/>
      <c r="M259" s="42"/>
      <c r="N259" s="42"/>
      <c r="O259" s="42"/>
      <c r="P259" s="42"/>
      <c r="Q259" s="42"/>
      <c r="R259" s="42">
        <v>681</v>
      </c>
      <c r="S259" s="42"/>
      <c r="T259" s="410"/>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55">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09">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09">
        <f>IF(NFI_Expiration=1,IF($A259&lt;VLOOKUP(X$5,NFI,5,0),1,0)*Data_NFI_t[[#This Row],[Solar Lantern]],0)</f>
        <v>0</v>
      </c>
      <c r="AT259" s="105" t="str">
        <f ca="1">IFERROR(OFFSET(Camp_List[P_Code],MATCH(Data_NFI_t[[#This Row],[Camp Name]],Camp_List[Camp Name],0)-1,0,1,1),"")</f>
        <v>MMR012CMP019</v>
      </c>
      <c r="AU259" s="412" t="str">
        <f ca="1">IFERROR(OFFSET(Camp_List[Status],MATCH(Data_NFI_t[[#This Row],[Camp Name]],Camp_List[Camp Name],0)-1,0,1,1),"")</f>
        <v>Open</v>
      </c>
      <c r="AV259" s="105"/>
    </row>
    <row r="260" spans="1:48" s="78" customFormat="1" ht="19.5" customHeight="1" x14ac:dyDescent="0.25">
      <c r="A260" s="208">
        <f t="shared" si="6"/>
        <v>52.733333333333334</v>
      </c>
      <c r="B260" s="208">
        <f>YEAR(Data_NFI_t[[#This Row],[Distribution Date]])</f>
        <v>2014</v>
      </c>
      <c r="C260" s="719">
        <v>41852</v>
      </c>
      <c r="D260" s="395" t="s">
        <v>825</v>
      </c>
      <c r="E260" s="394" t="s">
        <v>825</v>
      </c>
      <c r="F260" s="395" t="s">
        <v>7</v>
      </c>
      <c r="G260" s="646" t="s">
        <v>13</v>
      </c>
      <c r="H260" s="646" t="s">
        <v>37</v>
      </c>
      <c r="I260" s="646"/>
      <c r="J260" s="646"/>
      <c r="K260" s="646"/>
      <c r="L260" s="42"/>
      <c r="M260" s="42"/>
      <c r="N260" s="42"/>
      <c r="O260" s="42"/>
      <c r="P260" s="42"/>
      <c r="Q260" s="42"/>
      <c r="R260" s="42">
        <v>24</v>
      </c>
      <c r="S260" s="42"/>
      <c r="T260" s="410"/>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55">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09">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09">
        <f>IF(NFI_Expiration=1,IF($A260&lt;VLOOKUP(X$5,NFI,5,0),1,0)*Data_NFI_t[[#This Row],[Solar Lantern]],0)</f>
        <v>0</v>
      </c>
      <c r="AT260" s="105" t="str">
        <f ca="1">IFERROR(OFFSET(Camp_List[P_Code],MATCH(Data_NFI_t[[#This Row],[Camp Name]],Camp_List[Camp Name],0)-1,0,1,1),"")</f>
        <v>MMR012CMP015</v>
      </c>
      <c r="AU260" s="412" t="str">
        <f ca="1">IFERROR(OFFSET(Camp_List[Status],MATCH(Data_NFI_t[[#This Row],[Camp Name]],Camp_List[Camp Name],0)-1,0,1,1),"")</f>
        <v>Relocated</v>
      </c>
      <c r="AV260" s="105"/>
    </row>
    <row r="261" spans="1:48" s="78" customFormat="1" ht="19.5" customHeight="1" x14ac:dyDescent="0.25">
      <c r="A261" s="208">
        <f t="shared" si="6"/>
        <v>52.733333333333334</v>
      </c>
      <c r="B261" s="208">
        <f>YEAR(Data_NFI_t[[#This Row],[Distribution Date]])</f>
        <v>2014</v>
      </c>
      <c r="C261" s="719">
        <v>41852</v>
      </c>
      <c r="D261" s="395" t="s">
        <v>825</v>
      </c>
      <c r="E261" s="394" t="s">
        <v>825</v>
      </c>
      <c r="F261" s="395" t="s">
        <v>7</v>
      </c>
      <c r="G261" s="646" t="s">
        <v>18</v>
      </c>
      <c r="H261" s="646" t="s">
        <v>95</v>
      </c>
      <c r="I261" s="646"/>
      <c r="J261" s="646"/>
      <c r="K261" s="646"/>
      <c r="L261" s="42"/>
      <c r="M261" s="42"/>
      <c r="N261" s="42"/>
      <c r="O261" s="42"/>
      <c r="P261" s="42"/>
      <c r="Q261" s="42"/>
      <c r="R261" s="42">
        <v>183</v>
      </c>
      <c r="S261" s="42"/>
      <c r="T261" s="410"/>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55">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09">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09">
        <f>IF(NFI_Expiration=1,IF($A261&lt;VLOOKUP(X$5,NFI,5,0),1,0)*Data_NFI_t[[#This Row],[Solar Lantern]],0)</f>
        <v>0</v>
      </c>
      <c r="AT261" s="105" t="str">
        <f ca="1">IFERROR(OFFSET(Camp_List[P_Code],MATCH(Data_NFI_t[[#This Row],[Camp Name]],Camp_List[Camp Name],0)-1,0,1,1),"")</f>
        <v>MMR012CMP076</v>
      </c>
      <c r="AU261" s="412" t="str">
        <f ca="1">IFERROR(OFFSET(Camp_List[Status],MATCH(Data_NFI_t[[#This Row],[Camp Name]],Camp_List[Camp Name],0)-1,0,1,1),"")</f>
        <v>Close</v>
      </c>
      <c r="AV261" s="105"/>
    </row>
    <row r="262" spans="1:48" s="78" customFormat="1" ht="19.5" customHeight="1" x14ac:dyDescent="0.25">
      <c r="A262" s="208">
        <f t="shared" si="6"/>
        <v>52.733333333333334</v>
      </c>
      <c r="B262" s="208">
        <f>YEAR(Data_NFI_t[[#This Row],[Distribution Date]])</f>
        <v>2014</v>
      </c>
      <c r="C262" s="719">
        <v>41852</v>
      </c>
      <c r="D262" s="395" t="s">
        <v>825</v>
      </c>
      <c r="E262" s="394" t="s">
        <v>825</v>
      </c>
      <c r="F262" s="395" t="s">
        <v>7</v>
      </c>
      <c r="G262" s="646" t="s">
        <v>18</v>
      </c>
      <c r="H262" s="646" t="s">
        <v>97</v>
      </c>
      <c r="I262" s="646"/>
      <c r="J262" s="646"/>
      <c r="K262" s="646"/>
      <c r="L262" s="42"/>
      <c r="M262" s="42"/>
      <c r="N262" s="42"/>
      <c r="O262" s="42"/>
      <c r="P262" s="42"/>
      <c r="Q262" s="42"/>
      <c r="R262" s="42">
        <v>162</v>
      </c>
      <c r="S262" s="42"/>
      <c r="T262" s="410"/>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55">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09">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09">
        <f>IF(NFI_Expiration=1,IF($A262&lt;VLOOKUP(X$5,NFI,5,0),1,0)*Data_NFI_t[[#This Row],[Solar Lantern]],0)</f>
        <v>0</v>
      </c>
      <c r="AT262" s="105" t="str">
        <f ca="1">IFERROR(OFFSET(Camp_List[P_Code],MATCH(Data_NFI_t[[#This Row],[Camp Name]],Camp_List[Camp Name],0)-1,0,1,1),"")</f>
        <v>MMR012CMP078</v>
      </c>
      <c r="AU262" s="412" t="str">
        <f ca="1">IFERROR(OFFSET(Camp_List[Status],MATCH(Data_NFI_t[[#This Row],[Camp Name]],Camp_List[Camp Name],0)-1,0,1,1),"")</f>
        <v>Close</v>
      </c>
      <c r="AV262" s="105"/>
    </row>
    <row r="263" spans="1:48" s="78" customFormat="1" ht="19.5" customHeight="1" x14ac:dyDescent="0.25">
      <c r="A263" s="208">
        <f t="shared" si="6"/>
        <v>52.733333333333334</v>
      </c>
      <c r="B263" s="208">
        <f>YEAR(Data_NFI_t[[#This Row],[Distribution Date]])</f>
        <v>2014</v>
      </c>
      <c r="C263" s="719">
        <v>41852</v>
      </c>
      <c r="D263" s="395" t="s">
        <v>825</v>
      </c>
      <c r="E263" s="394" t="s">
        <v>825</v>
      </c>
      <c r="F263" s="395" t="s">
        <v>7</v>
      </c>
      <c r="G263" s="646" t="s">
        <v>18</v>
      </c>
      <c r="H263" s="646" t="s">
        <v>96</v>
      </c>
      <c r="I263" s="646"/>
      <c r="J263" s="646"/>
      <c r="K263" s="646"/>
      <c r="L263" s="42"/>
      <c r="M263" s="42"/>
      <c r="N263" s="42"/>
      <c r="O263" s="42"/>
      <c r="P263" s="42"/>
      <c r="Q263" s="42"/>
      <c r="R263" s="42">
        <v>192</v>
      </c>
      <c r="S263" s="42"/>
      <c r="T263" s="410"/>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55">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09">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09">
        <f>IF(NFI_Expiration=1,IF($A263&lt;VLOOKUP(X$5,NFI,5,0),1,0)*Data_NFI_t[[#This Row],[Solar Lantern]],0)</f>
        <v>0</v>
      </c>
      <c r="AT263" s="105" t="str">
        <f ca="1">IFERROR(OFFSET(Camp_List[P_Code],MATCH(Data_NFI_t[[#This Row],[Camp Name]],Camp_List[Camp Name],0)-1,0,1,1),"")</f>
        <v>MMR012CMP077</v>
      </c>
      <c r="AU263" s="412" t="str">
        <f ca="1">IFERROR(OFFSET(Camp_List[Status],MATCH(Data_NFI_t[[#This Row],[Camp Name]],Camp_List[Camp Name],0)-1,0,1,1),"")</f>
        <v>Close</v>
      </c>
      <c r="AV263" s="105"/>
    </row>
    <row r="264" spans="1:48" s="78" customFormat="1" ht="19.5" customHeight="1" x14ac:dyDescent="0.25">
      <c r="A264" s="208">
        <f t="shared" si="6"/>
        <v>52.733333333333334</v>
      </c>
      <c r="B264" s="208">
        <f>YEAR(Data_NFI_t[[#This Row],[Distribution Date]])</f>
        <v>2014</v>
      </c>
      <c r="C264" s="719">
        <v>41852</v>
      </c>
      <c r="D264" s="395" t="s">
        <v>825</v>
      </c>
      <c r="E264" s="394" t="s">
        <v>825</v>
      </c>
      <c r="F264" s="395" t="s">
        <v>7</v>
      </c>
      <c r="G264" s="646" t="s">
        <v>18</v>
      </c>
      <c r="H264" s="646" t="s">
        <v>99</v>
      </c>
      <c r="I264" s="646"/>
      <c r="J264" s="646"/>
      <c r="K264" s="646"/>
      <c r="L264" s="42"/>
      <c r="M264" s="42"/>
      <c r="N264" s="42"/>
      <c r="O264" s="42"/>
      <c r="P264" s="42"/>
      <c r="Q264" s="42"/>
      <c r="R264" s="42">
        <v>102</v>
      </c>
      <c r="S264" s="42"/>
      <c r="T264" s="410"/>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55">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09">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09">
        <f>IF(NFI_Expiration=1,IF($A264&lt;VLOOKUP(X$5,NFI,5,0),1,0)*Data_NFI_t[[#This Row],[Solar Lantern]],0)</f>
        <v>0</v>
      </c>
      <c r="AT264" s="105" t="str">
        <f ca="1">IFERROR(OFFSET(Camp_List[P_Code],MATCH(Data_NFI_t[[#This Row],[Camp Name]],Camp_List[Camp Name],0)-1,0,1,1),"")</f>
        <v>MMR012CMP080</v>
      </c>
      <c r="AU264" s="412" t="str">
        <f ca="1">IFERROR(OFFSET(Camp_List[Status],MATCH(Data_NFI_t[[#This Row],[Camp Name]],Camp_List[Camp Name],0)-1,0,1,1),"")</f>
        <v>Close</v>
      </c>
      <c r="AV264" s="105"/>
    </row>
    <row r="265" spans="1:48" s="78" customFormat="1" ht="19.5" customHeight="1" x14ac:dyDescent="0.25">
      <c r="A265" s="208">
        <f t="shared" si="6"/>
        <v>52.733333333333334</v>
      </c>
      <c r="B265" s="208">
        <f>YEAR(Data_NFI_t[[#This Row],[Distribution Date]])</f>
        <v>2014</v>
      </c>
      <c r="C265" s="719">
        <v>41852</v>
      </c>
      <c r="D265" s="395" t="s">
        <v>825</v>
      </c>
      <c r="E265" s="394" t="s">
        <v>825</v>
      </c>
      <c r="F265" s="395" t="s">
        <v>7</v>
      </c>
      <c r="G265" s="646" t="s">
        <v>18</v>
      </c>
      <c r="H265" s="646" t="s">
        <v>98</v>
      </c>
      <c r="I265" s="646"/>
      <c r="J265" s="646"/>
      <c r="K265" s="646"/>
      <c r="L265" s="42"/>
      <c r="M265" s="42"/>
      <c r="N265" s="42"/>
      <c r="O265" s="42"/>
      <c r="P265" s="42"/>
      <c r="Q265" s="42"/>
      <c r="R265" s="42">
        <v>103</v>
      </c>
      <c r="S265" s="42"/>
      <c r="T265" s="410"/>
      <c r="U265" s="42"/>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55">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09">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09">
        <f>IF(NFI_Expiration=1,IF($A265&lt;VLOOKUP(X$5,NFI,5,0),1,0)*Data_NFI_t[[#This Row],[Solar Lantern]],0)</f>
        <v>0</v>
      </c>
      <c r="AT265" s="105" t="str">
        <f ca="1">IFERROR(OFFSET(Camp_List[P_Code],MATCH(Data_NFI_t[[#This Row],[Camp Name]],Camp_List[Camp Name],0)-1,0,1,1),"")</f>
        <v>MMR012CMP079</v>
      </c>
      <c r="AU265" s="412" t="str">
        <f ca="1">IFERROR(OFFSET(Camp_List[Status],MATCH(Data_NFI_t[[#This Row],[Camp Name]],Camp_List[Camp Name],0)-1,0,1,1),"")</f>
        <v>Close</v>
      </c>
      <c r="AV265" s="105"/>
    </row>
    <row r="266" spans="1:48" s="78" customFormat="1" ht="19.5" customHeight="1" x14ac:dyDescent="0.25">
      <c r="A266" s="208">
        <f t="shared" si="6"/>
        <v>52.733333333333334</v>
      </c>
      <c r="B266" s="208">
        <f>YEAR(Data_NFI_t[[#This Row],[Distribution Date]])</f>
        <v>2014</v>
      </c>
      <c r="C266" s="719">
        <v>41852</v>
      </c>
      <c r="D266" s="395" t="s">
        <v>825</v>
      </c>
      <c r="E266" s="394" t="s">
        <v>825</v>
      </c>
      <c r="F266" s="395" t="s">
        <v>7</v>
      </c>
      <c r="G266" s="646" t="s">
        <v>18</v>
      </c>
      <c r="H266" s="646" t="s">
        <v>100</v>
      </c>
      <c r="I266" s="646"/>
      <c r="J266" s="646"/>
      <c r="K266" s="646"/>
      <c r="L266" s="42"/>
      <c r="M266" s="42"/>
      <c r="N266" s="42"/>
      <c r="O266" s="42"/>
      <c r="P266" s="42"/>
      <c r="Q266" s="42"/>
      <c r="R266" s="42">
        <v>175</v>
      </c>
      <c r="S266" s="42"/>
      <c r="T266" s="410"/>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55">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09">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09">
        <f>IF(NFI_Expiration=1,IF($A266&lt;VLOOKUP(X$5,NFI,5,0),1,0)*Data_NFI_t[[#This Row],[Solar Lantern]],0)</f>
        <v>0</v>
      </c>
      <c r="AT266" s="105" t="str">
        <f ca="1">IFERROR(OFFSET(Camp_List[P_Code],MATCH(Data_NFI_t[[#This Row],[Camp Name]],Camp_List[Camp Name],0)-1,0,1,1),"")</f>
        <v>MMR012CMP081</v>
      </c>
      <c r="AU266" s="412" t="str">
        <f ca="1">IFERROR(OFFSET(Camp_List[Status],MATCH(Data_NFI_t[[#This Row],[Camp Name]],Camp_List[Camp Name],0)-1,0,1,1),"")</f>
        <v>Close</v>
      </c>
      <c r="AV266" s="105"/>
    </row>
    <row r="267" spans="1:48" s="78" customFormat="1" ht="19.5" customHeight="1" x14ac:dyDescent="0.25">
      <c r="A267" s="208">
        <f t="shared" si="6"/>
        <v>53.1</v>
      </c>
      <c r="B267" s="208">
        <f>YEAR(Data_NFI_t[[#This Row],[Distribution Date]])</f>
        <v>2014</v>
      </c>
      <c r="C267" s="719">
        <v>41841</v>
      </c>
      <c r="D267" s="395" t="s">
        <v>273</v>
      </c>
      <c r="E267" s="394" t="s">
        <v>273</v>
      </c>
      <c r="F267" s="395" t="s">
        <v>7</v>
      </c>
      <c r="G267" s="646" t="s">
        <v>17</v>
      </c>
      <c r="H267" s="646" t="s">
        <v>61</v>
      </c>
      <c r="I267" s="646"/>
      <c r="J267" s="646"/>
      <c r="K267" s="646"/>
      <c r="L267" s="42"/>
      <c r="M267" s="42"/>
      <c r="N267" s="42"/>
      <c r="O267" s="42">
        <v>304</v>
      </c>
      <c r="P267" s="42">
        <v>608</v>
      </c>
      <c r="Q267" s="42"/>
      <c r="R267" s="42"/>
      <c r="S267" s="42">
        <v>304</v>
      </c>
      <c r="T267" s="410"/>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55">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09">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09">
        <f>IF(NFI_Expiration=1,IF($A267&lt;VLOOKUP(X$5,NFI,5,0),1,0)*Data_NFI_t[[#This Row],[Solar Lantern]],0)</f>
        <v>0</v>
      </c>
      <c r="AT267" s="105" t="str">
        <f ca="1">IFERROR(OFFSET(Camp_List[P_Code],MATCH(Data_NFI_t[[#This Row],[Camp Name]],Camp_List[Camp Name],0)-1,0,1,1),"")</f>
        <v>MMR012CMP041</v>
      </c>
      <c r="AU267" s="412" t="str">
        <f ca="1">IFERROR(OFFSET(Camp_List[Status],MATCH(Data_NFI_t[[#This Row],[Camp Name]],Camp_List[Camp Name],0)-1,0,1,1),"")</f>
        <v>Open</v>
      </c>
      <c r="AV267" s="105"/>
    </row>
    <row r="268" spans="1:48" s="78" customFormat="1" ht="19.5" customHeight="1" x14ac:dyDescent="0.25">
      <c r="A268" s="208">
        <f t="shared" si="6"/>
        <v>53.1</v>
      </c>
      <c r="B268" s="208">
        <f>YEAR(Data_NFI_t[[#This Row],[Distribution Date]])</f>
        <v>2014</v>
      </c>
      <c r="C268" s="719">
        <v>41841</v>
      </c>
      <c r="D268" s="395" t="s">
        <v>575</v>
      </c>
      <c r="E268" s="394" t="s">
        <v>575</v>
      </c>
      <c r="F268" s="395" t="s">
        <v>7</v>
      </c>
      <c r="G268" s="646" t="s">
        <v>17</v>
      </c>
      <c r="H268" s="646" t="s">
        <v>76</v>
      </c>
      <c r="I268" s="646"/>
      <c r="J268" s="646"/>
      <c r="K268" s="646"/>
      <c r="L268" s="42">
        <v>70</v>
      </c>
      <c r="M268" s="42"/>
      <c r="N268" s="42"/>
      <c r="O268" s="42"/>
      <c r="P268" s="42"/>
      <c r="Q268" s="42"/>
      <c r="R268" s="42"/>
      <c r="S268" s="42"/>
      <c r="T268" s="410"/>
      <c r="U268" s="42"/>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55">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709">
        <f>IF(NFI_Expiration=1,IF($A268&lt;VLOOKUP(U$5,NFI,5,0),1,0)*Data_NFI_t[[#This Row],[Plastic Mat]],0)</f>
        <v>0</v>
      </c>
      <c r="AP268" s="709">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09">
        <f>IF(NFI_Expiration=1,IF($A268&lt;VLOOKUP(X$5,NFI,5,0),1,0)*Data_NFI_t[[#This Row],[Solar Lantern]],0)</f>
        <v>0</v>
      </c>
      <c r="AT268" s="105" t="str">
        <f ca="1">IFERROR(OFFSET(Camp_List[P_Code],MATCH(Data_NFI_t[[#This Row],[Camp Name]],Camp_List[Camp Name],0)-1,0,1,1),"")</f>
        <v>MMR012CMP056</v>
      </c>
      <c r="AU268" s="412" t="str">
        <f ca="1">IFERROR(OFFSET(Camp_List[Status],MATCH(Data_NFI_t[[#This Row],[Camp Name]],Camp_List[Camp Name],0)-1,0,1,1),"")</f>
        <v>Relocated</v>
      </c>
      <c r="AV268" s="105"/>
    </row>
    <row r="269" spans="1:48" s="78" customFormat="1" ht="19.5" customHeight="1" x14ac:dyDescent="0.25">
      <c r="A269" s="208">
        <f t="shared" si="6"/>
        <v>53.1</v>
      </c>
      <c r="B269" s="208">
        <f>YEAR(Data_NFI_t[[#This Row],[Distribution Date]])</f>
        <v>2014</v>
      </c>
      <c r="C269" s="719">
        <v>41841</v>
      </c>
      <c r="D269" s="395" t="s">
        <v>575</v>
      </c>
      <c r="E269" s="394" t="s">
        <v>575</v>
      </c>
      <c r="F269" s="395" t="s">
        <v>7</v>
      </c>
      <c r="G269" s="646" t="s">
        <v>17</v>
      </c>
      <c r="H269" s="646" t="s">
        <v>232</v>
      </c>
      <c r="I269" s="646"/>
      <c r="J269" s="646"/>
      <c r="K269" s="646"/>
      <c r="L269" s="42">
        <v>151</v>
      </c>
      <c r="M269" s="42"/>
      <c r="N269" s="42"/>
      <c r="O269" s="42"/>
      <c r="P269" s="42"/>
      <c r="Q269" s="42"/>
      <c r="R269" s="42"/>
      <c r="S269" s="42"/>
      <c r="T269" s="410"/>
      <c r="U269" s="42"/>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55">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709">
        <f>IF(NFI_Expiration=1,IF($A269&lt;VLOOKUP(U$5,NFI,5,0),1,0)*Data_NFI_t[[#This Row],[Plastic Mat]],0)</f>
        <v>0</v>
      </c>
      <c r="AP269" s="709">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09">
        <f>IF(NFI_Expiration=1,IF($A269&lt;VLOOKUP(X$5,NFI,5,0),1,0)*Data_NFI_t[[#This Row],[Solar Lantern]],0)</f>
        <v>0</v>
      </c>
      <c r="AT269" s="105" t="str">
        <f ca="1">IFERROR(OFFSET(Camp_List[P_Code],MATCH(Data_NFI_t[[#This Row],[Camp Name]],Camp_List[Camp Name],0)-1,0,1,1),"")</f>
        <v/>
      </c>
      <c r="AU269" s="412" t="str">
        <f ca="1">IFERROR(OFFSET(Camp_List[Status],MATCH(Data_NFI_t[[#This Row],[Camp Name]],Camp_List[Camp Name],0)-1,0,1,1),"")</f>
        <v/>
      </c>
      <c r="AV269" s="105"/>
    </row>
    <row r="270" spans="1:48" s="78" customFormat="1" ht="19.5" customHeight="1" x14ac:dyDescent="0.25">
      <c r="A270" s="208">
        <f t="shared" si="6"/>
        <v>54.333333333333336</v>
      </c>
      <c r="B270" s="208">
        <f>YEAR(Data_NFI_t[[#This Row],[Distribution Date]])</f>
        <v>2014</v>
      </c>
      <c r="C270" s="719">
        <v>41804</v>
      </c>
      <c r="D270" s="395" t="s">
        <v>575</v>
      </c>
      <c r="E270" s="394" t="s">
        <v>575</v>
      </c>
      <c r="F270" s="395" t="s">
        <v>7</v>
      </c>
      <c r="G270" s="646" t="s">
        <v>17</v>
      </c>
      <c r="H270" s="646" t="s">
        <v>62</v>
      </c>
      <c r="I270" s="646"/>
      <c r="J270" s="646"/>
      <c r="K270" s="646"/>
      <c r="L270" s="42"/>
      <c r="M270" s="42"/>
      <c r="N270" s="42">
        <v>2</v>
      </c>
      <c r="O270" s="42">
        <v>1</v>
      </c>
      <c r="P270" s="42">
        <v>2</v>
      </c>
      <c r="Q270" s="42">
        <v>1</v>
      </c>
      <c r="R270" s="42"/>
      <c r="S270" s="42">
        <v>1</v>
      </c>
      <c r="T270" s="410"/>
      <c r="U270" s="42">
        <v>5</v>
      </c>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55">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709">
        <f>IF(NFI_Expiration=1,IF($A270&lt;VLOOKUP(U$5,NFI,5,0),1,0)*Data_NFI_t[[#This Row],[Plastic Mat]],0)</f>
        <v>0</v>
      </c>
      <c r="AP270" s="709">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09">
        <f>IF(NFI_Expiration=1,IF($A270&lt;VLOOKUP(X$5,NFI,5,0),1,0)*Data_NFI_t[[#This Row],[Solar Lantern]],0)</f>
        <v>0</v>
      </c>
      <c r="AT270" s="105" t="str">
        <f ca="1">IFERROR(OFFSET(Camp_List[P_Code],MATCH(Data_NFI_t[[#This Row],[Camp Name]],Camp_List[Camp Name],0)-1,0,1,1),"")</f>
        <v/>
      </c>
      <c r="AU270" s="412" t="str">
        <f ca="1">IFERROR(OFFSET(Camp_List[Status],MATCH(Data_NFI_t[[#This Row],[Camp Name]],Camp_List[Camp Name],0)-1,0,1,1),"")</f>
        <v/>
      </c>
      <c r="AV270" s="105"/>
    </row>
    <row r="271" spans="1:48" s="78" customFormat="1" ht="19.5" customHeight="1" x14ac:dyDescent="0.25">
      <c r="A271" s="208">
        <f t="shared" si="6"/>
        <v>54.533333333333331</v>
      </c>
      <c r="B271" s="208">
        <f>YEAR(Data_NFI_t[[#This Row],[Distribution Date]])</f>
        <v>2014</v>
      </c>
      <c r="C271" s="719">
        <v>41798</v>
      </c>
      <c r="D271" s="395" t="s">
        <v>270</v>
      </c>
      <c r="E271" s="394" t="s">
        <v>270</v>
      </c>
      <c r="F271" s="395" t="s">
        <v>7</v>
      </c>
      <c r="G271" s="646" t="s">
        <v>17</v>
      </c>
      <c r="H271" s="646" t="s">
        <v>505</v>
      </c>
      <c r="I271" s="646"/>
      <c r="J271" s="646"/>
      <c r="K271" s="646"/>
      <c r="L271" s="42">
        <v>2404</v>
      </c>
      <c r="M271" s="42"/>
      <c r="N271" s="42">
        <v>4808</v>
      </c>
      <c r="O271" s="42">
        <v>2404</v>
      </c>
      <c r="P271" s="42">
        <v>4808</v>
      </c>
      <c r="Q271" s="42">
        <v>2404</v>
      </c>
      <c r="R271" s="42"/>
      <c r="S271" s="42">
        <v>2404</v>
      </c>
      <c r="T271" s="410"/>
      <c r="U271" s="42">
        <v>12020</v>
      </c>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55">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09">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09">
        <f>IF(NFI_Expiration=1,IF($A271&lt;VLOOKUP(X$5,NFI,5,0),1,0)*Data_NFI_t[[#This Row],[Solar Lantern]],0)</f>
        <v>0</v>
      </c>
      <c r="AT271" s="105" t="str">
        <f ca="1">IFERROR(OFFSET(Camp_List[P_Code],MATCH(Data_NFI_t[[#This Row],[Camp Name]],Camp_List[Camp Name],0)-1,0,1,1),"")</f>
        <v>MMR012CMP101</v>
      </c>
      <c r="AU271" s="412" t="str">
        <f ca="1">IFERROR(OFFSET(Camp_List[Status],MATCH(Data_NFI_t[[#This Row],[Camp Name]],Camp_List[Camp Name],0)-1,0,1,1),"")</f>
        <v>Close</v>
      </c>
      <c r="AV271" s="105"/>
    </row>
    <row r="272" spans="1:48" s="78" customFormat="1" ht="19.5" customHeight="1" x14ac:dyDescent="0.25">
      <c r="A272" s="208">
        <f t="shared" si="6"/>
        <v>56.8</v>
      </c>
      <c r="B272" s="208">
        <f>YEAR(Data_NFI_t[[#This Row],[Distribution Date]])</f>
        <v>2014</v>
      </c>
      <c r="C272" s="719">
        <v>41730</v>
      </c>
      <c r="D272" s="395" t="s">
        <v>273</v>
      </c>
      <c r="E272" s="394" t="s">
        <v>273</v>
      </c>
      <c r="F272" s="395" t="s">
        <v>7</v>
      </c>
      <c r="G272" s="646" t="s">
        <v>17</v>
      </c>
      <c r="H272" s="646" t="s">
        <v>65</v>
      </c>
      <c r="I272" s="646"/>
      <c r="J272" s="646"/>
      <c r="K272" s="646"/>
      <c r="L272" s="42"/>
      <c r="M272" s="42"/>
      <c r="N272" s="42"/>
      <c r="O272" s="42">
        <v>2573</v>
      </c>
      <c r="P272" s="42"/>
      <c r="Q272" s="42"/>
      <c r="R272" s="42"/>
      <c r="S272" s="42"/>
      <c r="T272" s="410"/>
      <c r="U272" s="42"/>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55">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09">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09">
        <f>IF(NFI_Expiration=1,IF($A272&lt;VLOOKUP(X$5,NFI,5,0),1,0)*Data_NFI_t[[#This Row],[Solar Lantern]],0)</f>
        <v>0</v>
      </c>
      <c r="AT272" s="105" t="str">
        <f ca="1">IFERROR(OFFSET(Camp_List[P_Code],MATCH(Data_NFI_t[[#This Row],[Camp Name]],Camp_List[Camp Name],0)-1,0,1,1),"")</f>
        <v>MMR012CMP045</v>
      </c>
      <c r="AU272" s="412" t="str">
        <f ca="1">IFERROR(OFFSET(Camp_List[Status],MATCH(Data_NFI_t[[#This Row],[Camp Name]],Camp_List[Camp Name],0)-1,0,1,1),"")</f>
        <v>Open</v>
      </c>
      <c r="AV272" s="105"/>
    </row>
    <row r="273" spans="1:48" s="78" customFormat="1" ht="19.5" customHeight="1" x14ac:dyDescent="0.25">
      <c r="A273" s="208">
        <f t="shared" si="6"/>
        <v>57.833333333333336</v>
      </c>
      <c r="B273" s="208">
        <f>YEAR(Data_NFI_t[[#This Row],[Distribution Date]])</f>
        <v>2014</v>
      </c>
      <c r="C273" s="719">
        <v>41699</v>
      </c>
      <c r="D273" s="395" t="s">
        <v>273</v>
      </c>
      <c r="E273" s="394" t="s">
        <v>273</v>
      </c>
      <c r="F273" s="395" t="s">
        <v>7</v>
      </c>
      <c r="G273" s="646" t="s">
        <v>17</v>
      </c>
      <c r="H273" s="646" t="s">
        <v>581</v>
      </c>
      <c r="I273" s="646"/>
      <c r="J273" s="646"/>
      <c r="K273" s="646"/>
      <c r="L273" s="42"/>
      <c r="M273" s="42"/>
      <c r="N273" s="42"/>
      <c r="O273" s="42">
        <v>1000</v>
      </c>
      <c r="P273" s="42"/>
      <c r="Q273" s="42"/>
      <c r="R273" s="42"/>
      <c r="S273" s="42"/>
      <c r="T273" s="410"/>
      <c r="U273" s="42"/>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55">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09">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09">
        <f>IF(NFI_Expiration=1,IF($A273&lt;VLOOKUP(X$5,NFI,5,0),1,0)*Data_NFI_t[[#This Row],[Solar Lantern]],0)</f>
        <v>0</v>
      </c>
      <c r="AT273" s="105" t="str">
        <f ca="1">IFERROR(OFFSET(Camp_List[P_Code],MATCH(Data_NFI_t[[#This Row],[Camp Name]],Camp_List[Camp Name],0)-1,0,1,1),"")</f>
        <v>MMR012CMP113</v>
      </c>
      <c r="AU273" s="412" t="str">
        <f ca="1">IFERROR(OFFSET(Camp_List[Status],MATCH(Data_NFI_t[[#This Row],[Camp Name]],Camp_List[Camp Name],0)-1,0,1,1),"")</f>
        <v>Open</v>
      </c>
      <c r="AV273" s="105"/>
    </row>
    <row r="274" spans="1:48" s="78" customFormat="1" ht="19.5" customHeight="1" x14ac:dyDescent="0.25">
      <c r="A274" s="208">
        <f t="shared" si="6"/>
        <v>57.833333333333336</v>
      </c>
      <c r="B274" s="208">
        <f>YEAR(Data_NFI_t[[#This Row],[Distribution Date]])</f>
        <v>2014</v>
      </c>
      <c r="C274" s="719">
        <v>41699</v>
      </c>
      <c r="D274" s="395" t="s">
        <v>273</v>
      </c>
      <c r="E274" s="394" t="s">
        <v>273</v>
      </c>
      <c r="F274" s="395" t="s">
        <v>7</v>
      </c>
      <c r="G274" s="646" t="s">
        <v>17</v>
      </c>
      <c r="H274" s="646" t="s">
        <v>582</v>
      </c>
      <c r="I274" s="646"/>
      <c r="J274" s="646"/>
      <c r="K274" s="646"/>
      <c r="L274" s="42"/>
      <c r="M274" s="42"/>
      <c r="N274" s="42"/>
      <c r="O274" s="42">
        <v>1320</v>
      </c>
      <c r="P274" s="42"/>
      <c r="Q274" s="42"/>
      <c r="R274" s="42"/>
      <c r="S274" s="42"/>
      <c r="T274" s="410"/>
      <c r="U274" s="42"/>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55">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09">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09">
        <f>IF(NFI_Expiration=1,IF($A274&lt;VLOOKUP(X$5,NFI,5,0),1,0)*Data_NFI_t[[#This Row],[Solar Lantern]],0)</f>
        <v>0</v>
      </c>
      <c r="AT274" s="105" t="str">
        <f ca="1">IFERROR(OFFSET(Camp_List[P_Code],MATCH(Data_NFI_t[[#This Row],[Camp Name]],Camp_List[Camp Name],0)-1,0,1,1),"")</f>
        <v>MMR012CMP114</v>
      </c>
      <c r="AU274" s="412" t="str">
        <f ca="1">IFERROR(OFFSET(Camp_List[Status],MATCH(Data_NFI_t[[#This Row],[Camp Name]],Camp_List[Camp Name],0)-1,0,1,1),"")</f>
        <v>Open</v>
      </c>
      <c r="AV274" s="105"/>
    </row>
    <row r="275" spans="1:48" s="78" customFormat="1" ht="19.5" customHeight="1" x14ac:dyDescent="0.25">
      <c r="A275" s="208">
        <f t="shared" si="6"/>
        <v>57.833333333333336</v>
      </c>
      <c r="B275" s="208">
        <f>YEAR(Data_NFI_t[[#This Row],[Distribution Date]])</f>
        <v>2014</v>
      </c>
      <c r="C275" s="719">
        <v>41699</v>
      </c>
      <c r="D275" s="395" t="s">
        <v>273</v>
      </c>
      <c r="E275" s="394" t="s">
        <v>273</v>
      </c>
      <c r="F275" s="395" t="s">
        <v>7</v>
      </c>
      <c r="G275" s="646" t="s">
        <v>17</v>
      </c>
      <c r="H275" s="646" t="s">
        <v>499</v>
      </c>
      <c r="I275" s="646"/>
      <c r="J275" s="646"/>
      <c r="K275" s="646"/>
      <c r="L275" s="42"/>
      <c r="M275" s="42"/>
      <c r="N275" s="42"/>
      <c r="O275" s="42">
        <v>1400</v>
      </c>
      <c r="P275" s="42"/>
      <c r="Q275" s="42"/>
      <c r="R275" s="42"/>
      <c r="S275" s="42"/>
      <c r="T275" s="410"/>
      <c r="U275" s="42"/>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55">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09">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09">
        <f>IF(NFI_Expiration=1,IF($A275&lt;VLOOKUP(X$5,NFI,5,0),1,0)*Data_NFI_t[[#This Row],[Solar Lantern]],0)</f>
        <v>0</v>
      </c>
      <c r="AT275" s="105" t="str">
        <f ca="1">IFERROR(OFFSET(Camp_List[P_Code],MATCH(Data_NFI_t[[#This Row],[Camp Name]],Camp_List[Camp Name],0)-1,0,1,1),"")</f>
        <v>MMR012CMP097</v>
      </c>
      <c r="AU275" s="412" t="str">
        <f ca="1">IFERROR(OFFSET(Camp_List[Status],MATCH(Data_NFI_t[[#This Row],[Camp Name]],Camp_List[Camp Name],0)-1,0,1,1),"")</f>
        <v>Open</v>
      </c>
      <c r="AV275" s="105"/>
    </row>
    <row r="276" spans="1:48" s="78" customFormat="1" ht="19.5" customHeight="1" x14ac:dyDescent="0.25">
      <c r="A276" s="208">
        <f t="shared" si="6"/>
        <v>57.833333333333336</v>
      </c>
      <c r="B276" s="208">
        <f>YEAR(Data_NFI_t[[#This Row],[Distribution Date]])</f>
        <v>2014</v>
      </c>
      <c r="C276" s="719">
        <v>41699</v>
      </c>
      <c r="D276" s="395" t="s">
        <v>273</v>
      </c>
      <c r="E276" s="394" t="s">
        <v>273</v>
      </c>
      <c r="F276" s="395" t="s">
        <v>7</v>
      </c>
      <c r="G276" s="646" t="s">
        <v>17</v>
      </c>
      <c r="H276" s="646" t="s">
        <v>586</v>
      </c>
      <c r="I276" s="646"/>
      <c r="J276" s="646"/>
      <c r="K276" s="646"/>
      <c r="L276" s="42"/>
      <c r="M276" s="42"/>
      <c r="N276" s="42"/>
      <c r="O276" s="42">
        <v>2549</v>
      </c>
      <c r="P276" s="42"/>
      <c r="Q276" s="42"/>
      <c r="R276" s="42"/>
      <c r="S276" s="42"/>
      <c r="T276" s="410"/>
      <c r="U276" s="42"/>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55">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09">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09">
        <f>IF(NFI_Expiration=1,IF($A276&lt;VLOOKUP(X$5,NFI,5,0),1,0)*Data_NFI_t[[#This Row],[Solar Lantern]],0)</f>
        <v>0</v>
      </c>
      <c r="AT276" s="105" t="str">
        <f ca="1">IFERROR(OFFSET(Camp_List[P_Code],MATCH(Data_NFI_t[[#This Row],[Camp Name]],Camp_List[Camp Name],0)-1,0,1,1),"")</f>
        <v>MMR012CMP115</v>
      </c>
      <c r="AU276" s="412" t="str">
        <f ca="1">IFERROR(OFFSET(Camp_List[Status],MATCH(Data_NFI_t[[#This Row],[Camp Name]],Camp_List[Camp Name],0)-1,0,1,1),"")</f>
        <v>Open</v>
      </c>
      <c r="AV276" s="105"/>
    </row>
    <row r="277" spans="1:48" s="78" customFormat="1" ht="19.5" customHeight="1" x14ac:dyDescent="0.25">
      <c r="A277" s="208">
        <f t="shared" si="6"/>
        <v>58.8</v>
      </c>
      <c r="B277" s="208">
        <f>YEAR(Data_NFI_t[[#This Row],[Distribution Date]])</f>
        <v>2014</v>
      </c>
      <c r="C277" s="719">
        <v>41670</v>
      </c>
      <c r="D277" s="395" t="s">
        <v>270</v>
      </c>
      <c r="E277" s="394" t="s">
        <v>270</v>
      </c>
      <c r="F277" s="395" t="s">
        <v>7</v>
      </c>
      <c r="G277" s="646" t="s">
        <v>14</v>
      </c>
      <c r="H277" s="646" t="s">
        <v>46</v>
      </c>
      <c r="I277" s="646"/>
      <c r="J277" s="646"/>
      <c r="K277" s="646"/>
      <c r="L277" s="42"/>
      <c r="M277" s="42"/>
      <c r="N277" s="42">
        <v>2</v>
      </c>
      <c r="O277" s="42"/>
      <c r="P277" s="42">
        <v>2</v>
      </c>
      <c r="Q277" s="42">
        <v>1</v>
      </c>
      <c r="R277" s="42">
        <v>4</v>
      </c>
      <c r="S277" s="42">
        <v>1</v>
      </c>
      <c r="T277" s="410"/>
      <c r="U277" s="42">
        <v>2</v>
      </c>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55">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09">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09">
        <f>IF(NFI_Expiration=1,IF($A277&lt;VLOOKUP(X$5,NFI,5,0),1,0)*Data_NFI_t[[#This Row],[Solar Lantern]],0)</f>
        <v>0</v>
      </c>
      <c r="AT277" s="105" t="str">
        <f ca="1">IFERROR(OFFSET(Camp_List[P_Code],MATCH(Data_NFI_t[[#This Row],[Camp Name]],Camp_List[Camp Name],0)-1,0,1,1),"")</f>
        <v>MMR012CMP024</v>
      </c>
      <c r="AU277" s="412" t="str">
        <f ca="1">IFERROR(OFFSET(Camp_List[Status],MATCH(Data_NFI_t[[#This Row],[Camp Name]],Camp_List[Camp Name],0)-1,0,1,1),"")</f>
        <v>Returned</v>
      </c>
      <c r="AV277" s="105"/>
    </row>
    <row r="278" spans="1:48" s="78" customFormat="1" ht="19.5" customHeight="1" x14ac:dyDescent="0.25">
      <c r="A278" s="208">
        <f t="shared" si="6"/>
        <v>59.3</v>
      </c>
      <c r="B278" s="208">
        <f>YEAR(Data_NFI_t[[#This Row],[Distribution Date]])</f>
        <v>2014</v>
      </c>
      <c r="C278" s="719">
        <v>41655</v>
      </c>
      <c r="D278" s="395" t="s">
        <v>270</v>
      </c>
      <c r="E278" s="394" t="s">
        <v>270</v>
      </c>
      <c r="F278" s="395" t="s">
        <v>7</v>
      </c>
      <c r="G278" s="646" t="s">
        <v>13</v>
      </c>
      <c r="H278" s="646" t="s">
        <v>41</v>
      </c>
      <c r="I278" s="646"/>
      <c r="J278" s="646"/>
      <c r="K278" s="646"/>
      <c r="L278" s="42"/>
      <c r="M278" s="42"/>
      <c r="N278" s="42"/>
      <c r="O278" s="42"/>
      <c r="P278" s="42">
        <v>20</v>
      </c>
      <c r="Q278" s="42">
        <v>700</v>
      </c>
      <c r="R278" s="42"/>
      <c r="S278" s="42"/>
      <c r="T278" s="410"/>
      <c r="U278" s="42">
        <v>120</v>
      </c>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55">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09">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09">
        <f>IF(NFI_Expiration=1,IF($A278&lt;VLOOKUP(X$5,NFI,5,0),1,0)*Data_NFI_t[[#This Row],[Solar Lantern]],0)</f>
        <v>0</v>
      </c>
      <c r="AT278" s="105" t="str">
        <f ca="1">IFERROR(OFFSET(Camp_List[P_Code],MATCH(Data_NFI_t[[#This Row],[Camp Name]],Camp_List[Camp Name],0)-1,0,1,1),"")</f>
        <v>MMR012CMP019</v>
      </c>
      <c r="AU278" s="412" t="str">
        <f ca="1">IFERROR(OFFSET(Camp_List[Status],MATCH(Data_NFI_t[[#This Row],[Camp Name]],Camp_List[Camp Name],0)-1,0,1,1),"")</f>
        <v>Open</v>
      </c>
      <c r="AV278" s="105"/>
    </row>
    <row r="279" spans="1:48" s="78" customFormat="1" ht="19.5" customHeight="1" x14ac:dyDescent="0.25">
      <c r="A279" s="208">
        <f t="shared" si="6"/>
        <v>59.3</v>
      </c>
      <c r="B279" s="208">
        <f>YEAR(Data_NFI_t[[#This Row],[Distribution Date]])</f>
        <v>2014</v>
      </c>
      <c r="C279" s="719">
        <v>41655</v>
      </c>
      <c r="D279" s="395" t="s">
        <v>270</v>
      </c>
      <c r="E279" s="394" t="s">
        <v>270</v>
      </c>
      <c r="F279" s="395" t="s">
        <v>7</v>
      </c>
      <c r="G279" s="646" t="s">
        <v>13</v>
      </c>
      <c r="H279" s="646" t="s">
        <v>41</v>
      </c>
      <c r="I279" s="646"/>
      <c r="J279" s="646"/>
      <c r="K279" s="646"/>
      <c r="L279" s="42"/>
      <c r="M279" s="42"/>
      <c r="N279" s="42">
        <v>807</v>
      </c>
      <c r="O279" s="42"/>
      <c r="P279" s="42"/>
      <c r="Q279" s="42"/>
      <c r="R279" s="42">
        <v>807</v>
      </c>
      <c r="S279" s="42"/>
      <c r="T279" s="410"/>
      <c r="U279" s="42"/>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55">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09">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09">
        <f>IF(NFI_Expiration=1,IF($A279&lt;VLOOKUP(X$5,NFI,5,0),1,0)*Data_NFI_t[[#This Row],[Solar Lantern]],0)</f>
        <v>0</v>
      </c>
      <c r="AT279" s="105" t="str">
        <f ca="1">IFERROR(OFFSET(Camp_List[P_Code],MATCH(Data_NFI_t[[#This Row],[Camp Name]],Camp_List[Camp Name],0)-1,0,1,1),"")</f>
        <v>MMR012CMP019</v>
      </c>
      <c r="AU279" s="412" t="str">
        <f ca="1">IFERROR(OFFSET(Camp_List[Status],MATCH(Data_NFI_t[[#This Row],[Camp Name]],Camp_List[Camp Name],0)-1,0,1,1),"")</f>
        <v>Open</v>
      </c>
      <c r="AV279" s="105"/>
    </row>
    <row r="280" spans="1:48" s="78" customFormat="1" ht="19.5" customHeight="1" x14ac:dyDescent="0.25">
      <c r="A280" s="208">
        <f t="shared" si="6"/>
        <v>59.333333333333336</v>
      </c>
      <c r="B280" s="208">
        <f>YEAR(Data_NFI_t[[#This Row],[Distribution Date]])</f>
        <v>2014</v>
      </c>
      <c r="C280" s="719">
        <v>41654</v>
      </c>
      <c r="D280" s="395" t="s">
        <v>270</v>
      </c>
      <c r="E280" s="394" t="s">
        <v>270</v>
      </c>
      <c r="F280" s="395" t="s">
        <v>7</v>
      </c>
      <c r="G280" s="646" t="s">
        <v>13</v>
      </c>
      <c r="H280" s="646" t="s">
        <v>39</v>
      </c>
      <c r="I280" s="646"/>
      <c r="J280" s="646"/>
      <c r="K280" s="646"/>
      <c r="L280" s="42"/>
      <c r="M280" s="42"/>
      <c r="N280" s="42">
        <v>588</v>
      </c>
      <c r="O280" s="42"/>
      <c r="P280" s="42">
        <v>588</v>
      </c>
      <c r="Q280" s="42">
        <v>294</v>
      </c>
      <c r="R280" s="42">
        <v>1176</v>
      </c>
      <c r="S280" s="42">
        <v>294</v>
      </c>
      <c r="T280" s="410"/>
      <c r="U280" s="42">
        <v>588</v>
      </c>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55">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09">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09">
        <f>IF(NFI_Expiration=1,IF($A280&lt;VLOOKUP(X$5,NFI,5,0),1,0)*Data_NFI_t[[#This Row],[Solar Lantern]],0)</f>
        <v>0</v>
      </c>
      <c r="AT280" s="105" t="str">
        <f ca="1">IFERROR(OFFSET(Camp_List[P_Code],MATCH(Data_NFI_t[[#This Row],[Camp Name]],Camp_List[Camp Name],0)-1,0,1,1),"")</f>
        <v/>
      </c>
      <c r="AU280" s="412" t="str">
        <f ca="1">IFERROR(OFFSET(Camp_List[Status],MATCH(Data_NFI_t[[#This Row],[Camp Name]],Camp_List[Camp Name],0)-1,0,1,1),"")</f>
        <v/>
      </c>
      <c r="AV280" s="105"/>
    </row>
    <row r="281" spans="1:48" s="78" customFormat="1" ht="19.5" customHeight="1" x14ac:dyDescent="0.25">
      <c r="A281" s="208">
        <f t="shared" si="6"/>
        <v>59.333333333333336</v>
      </c>
      <c r="B281" s="208">
        <f>YEAR(Data_NFI_t[[#This Row],[Distribution Date]])</f>
        <v>2014</v>
      </c>
      <c r="C281" s="719">
        <v>41654</v>
      </c>
      <c r="D281" s="395" t="s">
        <v>270</v>
      </c>
      <c r="E281" s="394" t="s">
        <v>270</v>
      </c>
      <c r="F281" s="395" t="s">
        <v>7</v>
      </c>
      <c r="G281" s="646" t="s">
        <v>13</v>
      </c>
      <c r="H281" s="646" t="s">
        <v>41</v>
      </c>
      <c r="I281" s="646"/>
      <c r="J281" s="646"/>
      <c r="K281" s="646"/>
      <c r="L281" s="42"/>
      <c r="M281" s="42"/>
      <c r="N281" s="42">
        <v>1420</v>
      </c>
      <c r="O281" s="42"/>
      <c r="P281" s="42">
        <v>1400</v>
      </c>
      <c r="Q281" s="42"/>
      <c r="R281" s="42">
        <v>2800</v>
      </c>
      <c r="S281" s="42">
        <v>700</v>
      </c>
      <c r="T281" s="410"/>
      <c r="U281" s="42">
        <v>1400</v>
      </c>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55">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09">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09">
        <f>IF(NFI_Expiration=1,IF($A281&lt;VLOOKUP(X$5,NFI,5,0),1,0)*Data_NFI_t[[#This Row],[Solar Lantern]],0)</f>
        <v>0</v>
      </c>
      <c r="AT281" s="105" t="str">
        <f ca="1">IFERROR(OFFSET(Camp_List[P_Code],MATCH(Data_NFI_t[[#This Row],[Camp Name]],Camp_List[Camp Name],0)-1,0,1,1),"")</f>
        <v>MMR012CMP019</v>
      </c>
      <c r="AU281" s="412" t="str">
        <f ca="1">IFERROR(OFFSET(Camp_List[Status],MATCH(Data_NFI_t[[#This Row],[Camp Name]],Camp_List[Camp Name],0)-1,0,1,1),"")</f>
        <v>Open</v>
      </c>
      <c r="AV281" s="105"/>
    </row>
    <row r="282" spans="1:48" s="78" customFormat="1" ht="19.5" customHeight="1" x14ac:dyDescent="0.25">
      <c r="A282" s="208">
        <f t="shared" si="6"/>
        <v>59.633333333333333</v>
      </c>
      <c r="B282" s="208">
        <f>YEAR(Data_NFI_t[[#This Row],[Distribution Date]])</f>
        <v>2014</v>
      </c>
      <c r="C282" s="719">
        <v>41645</v>
      </c>
      <c r="D282" s="395" t="s">
        <v>270</v>
      </c>
      <c r="E282" s="394" t="s">
        <v>270</v>
      </c>
      <c r="F282" s="395" t="s">
        <v>7</v>
      </c>
      <c r="G282" s="646" t="s">
        <v>17</v>
      </c>
      <c r="H282" s="646" t="s">
        <v>585</v>
      </c>
      <c r="I282" s="646"/>
      <c r="J282" s="646"/>
      <c r="K282" s="646"/>
      <c r="L282" s="42"/>
      <c r="M282" s="42"/>
      <c r="N282" s="42">
        <v>10</v>
      </c>
      <c r="O282" s="42">
        <v>5</v>
      </c>
      <c r="P282" s="42">
        <v>15</v>
      </c>
      <c r="Q282" s="42">
        <v>5</v>
      </c>
      <c r="R282" s="42"/>
      <c r="S282" s="42"/>
      <c r="T282" s="410"/>
      <c r="U282" s="42">
        <v>10</v>
      </c>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55">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09">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09">
        <f>IF(NFI_Expiration=1,IF($A282&lt;VLOOKUP(X$5,NFI,5,0),1,0)*Data_NFI_t[[#This Row],[Solar Lantern]],0)</f>
        <v>0</v>
      </c>
      <c r="AT282" s="105" t="str">
        <f ca="1">IFERROR(OFFSET(Camp_List[P_Code],MATCH(Data_NFI_t[[#This Row],[Camp Name]],Camp_List[Camp Name],0)-1,0,1,1),"")</f>
        <v>MMR012CMP098</v>
      </c>
      <c r="AU282" s="412" t="str">
        <f ca="1">IFERROR(OFFSET(Camp_List[Status],MATCH(Data_NFI_t[[#This Row],[Camp Name]],Camp_List[Camp Name],0)-1,0,1,1),"")</f>
        <v>Open</v>
      </c>
      <c r="AV282" s="105"/>
    </row>
    <row r="283" spans="1:48" s="78" customFormat="1" ht="19.5" customHeight="1" x14ac:dyDescent="0.25">
      <c r="A283" s="208">
        <f t="shared" si="6"/>
        <v>59.766666666666666</v>
      </c>
      <c r="B283" s="208">
        <f>YEAR(Data_NFI_t[[#This Row],[Distribution Date]])</f>
        <v>2014</v>
      </c>
      <c r="C283" s="719">
        <v>41641</v>
      </c>
      <c r="D283" s="395" t="s">
        <v>270</v>
      </c>
      <c r="E283" s="394" t="s">
        <v>270</v>
      </c>
      <c r="F283" s="395" t="s">
        <v>7</v>
      </c>
      <c r="G283" s="646" t="s">
        <v>14</v>
      </c>
      <c r="H283" s="646" t="s">
        <v>46</v>
      </c>
      <c r="I283" s="646"/>
      <c r="J283" s="646"/>
      <c r="K283" s="646"/>
      <c r="L283" s="42"/>
      <c r="M283" s="42">
        <v>1</v>
      </c>
      <c r="N283" s="42">
        <v>2</v>
      </c>
      <c r="O283" s="42"/>
      <c r="P283" s="42">
        <v>2</v>
      </c>
      <c r="Q283" s="42">
        <v>1</v>
      </c>
      <c r="R283" s="42">
        <v>1</v>
      </c>
      <c r="S283" s="42">
        <v>1</v>
      </c>
      <c r="T283" s="410"/>
      <c r="U283" s="42">
        <v>2</v>
      </c>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55">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09">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09">
        <f>IF(NFI_Expiration=1,IF($A283&lt;VLOOKUP(X$5,NFI,5,0),1,0)*Data_NFI_t[[#This Row],[Solar Lantern]],0)</f>
        <v>0</v>
      </c>
      <c r="AT283" s="105" t="str">
        <f ca="1">IFERROR(OFFSET(Camp_List[P_Code],MATCH(Data_NFI_t[[#This Row],[Camp Name]],Camp_List[Camp Name],0)-1,0,1,1),"")</f>
        <v>MMR012CMP024</v>
      </c>
      <c r="AU283" s="412" t="str">
        <f ca="1">IFERROR(OFFSET(Camp_List[Status],MATCH(Data_NFI_t[[#This Row],[Camp Name]],Camp_List[Camp Name],0)-1,0,1,1),"")</f>
        <v>Returned</v>
      </c>
      <c r="AV283" s="105"/>
    </row>
    <row r="284" spans="1:48" s="78" customFormat="1" ht="19.5" customHeight="1" x14ac:dyDescent="0.25">
      <c r="A284" s="208">
        <f t="shared" si="6"/>
        <v>59.766666666666666</v>
      </c>
      <c r="B284" s="208">
        <f>YEAR(Data_NFI_t[[#This Row],[Distribution Date]])</f>
        <v>2014</v>
      </c>
      <c r="C284" s="719">
        <v>41641</v>
      </c>
      <c r="D284" s="395" t="s">
        <v>270</v>
      </c>
      <c r="E284" s="394" t="s">
        <v>270</v>
      </c>
      <c r="F284" s="395" t="s">
        <v>7</v>
      </c>
      <c r="G284" s="646" t="s">
        <v>17</v>
      </c>
      <c r="H284" s="646" t="s">
        <v>585</v>
      </c>
      <c r="I284" s="646"/>
      <c r="J284" s="646"/>
      <c r="K284" s="646"/>
      <c r="L284" s="42">
        <v>30</v>
      </c>
      <c r="M284" s="42"/>
      <c r="N284" s="42">
        <v>50</v>
      </c>
      <c r="O284" s="42">
        <v>25</v>
      </c>
      <c r="P284" s="42">
        <v>75</v>
      </c>
      <c r="Q284" s="42">
        <v>25</v>
      </c>
      <c r="R284" s="42"/>
      <c r="S284" s="42"/>
      <c r="T284" s="410"/>
      <c r="U284" s="42">
        <v>50</v>
      </c>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55">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09">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09">
        <f>IF(NFI_Expiration=1,IF($A284&lt;VLOOKUP(X$5,NFI,5,0),1,0)*Data_NFI_t[[#This Row],[Solar Lantern]],0)</f>
        <v>0</v>
      </c>
      <c r="AT284" s="105" t="str">
        <f ca="1">IFERROR(OFFSET(Camp_List[P_Code],MATCH(Data_NFI_t[[#This Row],[Camp Name]],Camp_List[Camp Name],0)-1,0,1,1),"")</f>
        <v>MMR012CMP098</v>
      </c>
      <c r="AU284" s="412" t="str">
        <f ca="1">IFERROR(OFFSET(Camp_List[Status],MATCH(Data_NFI_t[[#This Row],[Camp Name]],Camp_List[Camp Name],0)-1,0,1,1),"")</f>
        <v>Open</v>
      </c>
      <c r="AV284" s="105"/>
    </row>
    <row r="285" spans="1:48" s="78" customFormat="1" ht="19.5" customHeight="1" x14ac:dyDescent="0.25">
      <c r="A285" s="208">
        <f t="shared" si="6"/>
        <v>59.833333333333336</v>
      </c>
      <c r="B285" s="208">
        <f>YEAR(Data_NFI_t[[#This Row],[Distribution Date]])</f>
        <v>2013</v>
      </c>
      <c r="C285" s="719">
        <v>41639</v>
      </c>
      <c r="D285" s="395" t="s">
        <v>270</v>
      </c>
      <c r="E285" s="394" t="s">
        <v>270</v>
      </c>
      <c r="F285" s="395" t="s">
        <v>7</v>
      </c>
      <c r="G285" s="646" t="s">
        <v>17</v>
      </c>
      <c r="H285" s="646" t="s">
        <v>585</v>
      </c>
      <c r="I285" s="646"/>
      <c r="J285" s="646"/>
      <c r="K285" s="646"/>
      <c r="L285" s="42"/>
      <c r="M285" s="42"/>
      <c r="N285" s="42">
        <v>800</v>
      </c>
      <c r="O285" s="42"/>
      <c r="P285" s="42"/>
      <c r="Q285" s="42"/>
      <c r="R285" s="42"/>
      <c r="S285" s="42"/>
      <c r="T285" s="410"/>
      <c r="U285" s="42"/>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55">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09">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09">
        <f>IF(NFI_Expiration=1,IF($A285&lt;VLOOKUP(X$5,NFI,5,0),1,0)*Data_NFI_t[[#This Row],[Solar Lantern]],0)</f>
        <v>0</v>
      </c>
      <c r="AT285" s="105" t="str">
        <f ca="1">IFERROR(OFFSET(Camp_List[P_Code],MATCH(Data_NFI_t[[#This Row],[Camp Name]],Camp_List[Camp Name],0)-1,0,1,1),"")</f>
        <v>MMR012CMP098</v>
      </c>
      <c r="AU285" s="412" t="str">
        <f ca="1">IFERROR(OFFSET(Camp_List[Status],MATCH(Data_NFI_t[[#This Row],[Camp Name]],Camp_List[Camp Name],0)-1,0,1,1),"")</f>
        <v>Open</v>
      </c>
      <c r="AV285" s="105"/>
    </row>
    <row r="286" spans="1:48" s="78" customFormat="1" ht="19.5" customHeight="1" x14ac:dyDescent="0.25">
      <c r="A286" s="208">
        <f t="shared" si="6"/>
        <v>59.833333333333336</v>
      </c>
      <c r="B286" s="208">
        <f>YEAR(Data_NFI_t[[#This Row],[Distribution Date]])</f>
        <v>2013</v>
      </c>
      <c r="C286" s="719">
        <v>41639</v>
      </c>
      <c r="D286" s="395" t="s">
        <v>270</v>
      </c>
      <c r="E286" s="394" t="s">
        <v>270</v>
      </c>
      <c r="F286" s="395" t="s">
        <v>7</v>
      </c>
      <c r="G286" s="646" t="s">
        <v>17</v>
      </c>
      <c r="H286" s="646" t="s">
        <v>585</v>
      </c>
      <c r="I286" s="646"/>
      <c r="J286" s="646"/>
      <c r="K286" s="646"/>
      <c r="L286" s="42"/>
      <c r="M286" s="42"/>
      <c r="N286" s="42"/>
      <c r="O286" s="42"/>
      <c r="P286" s="42">
        <v>800</v>
      </c>
      <c r="Q286" s="42">
        <v>400</v>
      </c>
      <c r="R286" s="42"/>
      <c r="S286" s="42">
        <v>400</v>
      </c>
      <c r="T286" s="410"/>
      <c r="U286" s="42">
        <v>800</v>
      </c>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55">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09">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09">
        <f>IF(NFI_Expiration=1,IF($A286&lt;VLOOKUP(X$5,NFI,5,0),1,0)*Data_NFI_t[[#This Row],[Solar Lantern]],0)</f>
        <v>0</v>
      </c>
      <c r="AT286" s="105" t="str">
        <f ca="1">IFERROR(OFFSET(Camp_List[P_Code],MATCH(Data_NFI_t[[#This Row],[Camp Name]],Camp_List[Camp Name],0)-1,0,1,1),"")</f>
        <v>MMR012CMP098</v>
      </c>
      <c r="AU286" s="412" t="str">
        <f ca="1">IFERROR(OFFSET(Camp_List[Status],MATCH(Data_NFI_t[[#This Row],[Camp Name]],Camp_List[Camp Name],0)-1,0,1,1),"")</f>
        <v>Open</v>
      </c>
      <c r="AV286" s="105"/>
    </row>
    <row r="287" spans="1:48" s="78" customFormat="1" ht="19.5" customHeight="1" x14ac:dyDescent="0.25">
      <c r="A287" s="208">
        <f t="shared" ref="A287:A350" si="7">IF(ISBLANK(C287),"",(Report_Date-C287)/30)</f>
        <v>59.833333333333336</v>
      </c>
      <c r="B287" s="208">
        <f>YEAR(Data_NFI_t[[#This Row],[Distribution Date]])</f>
        <v>2013</v>
      </c>
      <c r="C287" s="719">
        <v>41639</v>
      </c>
      <c r="D287" s="395" t="s">
        <v>270</v>
      </c>
      <c r="E287" s="394" t="s">
        <v>270</v>
      </c>
      <c r="F287" s="395" t="s">
        <v>7</v>
      </c>
      <c r="G287" s="646" t="s">
        <v>17</v>
      </c>
      <c r="H287" s="646" t="s">
        <v>585</v>
      </c>
      <c r="I287" s="646"/>
      <c r="J287" s="646"/>
      <c r="K287" s="646"/>
      <c r="L287" s="42"/>
      <c r="M287" s="42"/>
      <c r="N287" s="42"/>
      <c r="O287" s="42">
        <v>309</v>
      </c>
      <c r="P287" s="42"/>
      <c r="Q287" s="42"/>
      <c r="R287" s="42"/>
      <c r="S287" s="42"/>
      <c r="T287" s="410"/>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55">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09">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09">
        <f>IF(NFI_Expiration=1,IF($A287&lt;VLOOKUP(X$5,NFI,5,0),1,0)*Data_NFI_t[[#This Row],[Solar Lantern]],0)</f>
        <v>0</v>
      </c>
      <c r="AT287" s="105" t="str">
        <f ca="1">IFERROR(OFFSET(Camp_List[P_Code],MATCH(Data_NFI_t[[#This Row],[Camp Name]],Camp_List[Camp Name],0)-1,0,1,1),"")</f>
        <v>MMR012CMP098</v>
      </c>
      <c r="AU287" s="412" t="str">
        <f ca="1">IFERROR(OFFSET(Camp_List[Status],MATCH(Data_NFI_t[[#This Row],[Camp Name]],Camp_List[Camp Name],0)-1,0,1,1),"")</f>
        <v>Open</v>
      </c>
      <c r="AV287" s="105"/>
    </row>
    <row r="288" spans="1:48" s="78" customFormat="1" ht="19.5" customHeight="1" x14ac:dyDescent="0.25">
      <c r="A288" s="208">
        <f t="shared" si="7"/>
        <v>60.43333333333333</v>
      </c>
      <c r="B288" s="208">
        <f>YEAR(Data_NFI_t[[#This Row],[Distribution Date]])</f>
        <v>2013</v>
      </c>
      <c r="C288" s="719">
        <v>41621</v>
      </c>
      <c r="D288" s="395" t="s">
        <v>270</v>
      </c>
      <c r="E288" s="394" t="s">
        <v>270</v>
      </c>
      <c r="F288" s="395" t="s">
        <v>7</v>
      </c>
      <c r="G288" s="646" t="s">
        <v>13</v>
      </c>
      <c r="H288" s="646" t="s">
        <v>39</v>
      </c>
      <c r="I288" s="646"/>
      <c r="J288" s="646"/>
      <c r="K288" s="646"/>
      <c r="L288" s="42"/>
      <c r="M288" s="42"/>
      <c r="N288" s="42">
        <v>1966</v>
      </c>
      <c r="O288" s="42"/>
      <c r="P288" s="42">
        <v>1966</v>
      </c>
      <c r="Q288" s="42">
        <v>983</v>
      </c>
      <c r="R288" s="42">
        <v>983</v>
      </c>
      <c r="S288" s="42">
        <v>983</v>
      </c>
      <c r="T288" s="410"/>
      <c r="U288" s="42">
        <v>1966</v>
      </c>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55">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09">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09">
        <f>IF(NFI_Expiration=1,IF($A288&lt;VLOOKUP(X$5,NFI,5,0),1,0)*Data_NFI_t[[#This Row],[Solar Lantern]],0)</f>
        <v>0</v>
      </c>
      <c r="AT288" s="105" t="str">
        <f ca="1">IFERROR(OFFSET(Camp_List[P_Code],MATCH(Data_NFI_t[[#This Row],[Camp Name]],Camp_List[Camp Name],0)-1,0,1,1),"")</f>
        <v/>
      </c>
      <c r="AU288" s="412" t="str">
        <f ca="1">IFERROR(OFFSET(Camp_List[Status],MATCH(Data_NFI_t[[#This Row],[Camp Name]],Camp_List[Camp Name],0)-1,0,1,1),"")</f>
        <v/>
      </c>
      <c r="AV288" s="105"/>
    </row>
    <row r="289" spans="1:48" s="78" customFormat="1" ht="19.5" customHeight="1" x14ac:dyDescent="0.25">
      <c r="A289" s="208">
        <f t="shared" si="7"/>
        <v>60.43333333333333</v>
      </c>
      <c r="B289" s="208">
        <f>YEAR(Data_NFI_t[[#This Row],[Distribution Date]])</f>
        <v>2013</v>
      </c>
      <c r="C289" s="719">
        <v>41621</v>
      </c>
      <c r="D289" s="395" t="s">
        <v>270</v>
      </c>
      <c r="E289" s="394" t="s">
        <v>270</v>
      </c>
      <c r="F289" s="395" t="s">
        <v>7</v>
      </c>
      <c r="G289" s="646" t="s">
        <v>13</v>
      </c>
      <c r="H289" s="646" t="s">
        <v>41</v>
      </c>
      <c r="I289" s="646"/>
      <c r="J289" s="646"/>
      <c r="K289" s="646"/>
      <c r="L289" s="42"/>
      <c r="M289" s="42"/>
      <c r="N289" s="42">
        <v>807</v>
      </c>
      <c r="O289" s="42">
        <v>203</v>
      </c>
      <c r="P289" s="42"/>
      <c r="Q289" s="42"/>
      <c r="R289" s="42">
        <v>807</v>
      </c>
      <c r="S289" s="42"/>
      <c r="T289" s="410"/>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55">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09">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09">
        <f>IF(NFI_Expiration=1,IF($A289&lt;VLOOKUP(X$5,NFI,5,0),1,0)*Data_NFI_t[[#This Row],[Solar Lantern]],0)</f>
        <v>0</v>
      </c>
      <c r="AT289" s="105" t="str">
        <f ca="1">IFERROR(OFFSET(Camp_List[P_Code],MATCH(Data_NFI_t[[#This Row],[Camp Name]],Camp_List[Camp Name],0)-1,0,1,1),"")</f>
        <v>MMR012CMP019</v>
      </c>
      <c r="AU289" s="412" t="str">
        <f ca="1">IFERROR(OFFSET(Camp_List[Status],MATCH(Data_NFI_t[[#This Row],[Camp Name]],Camp_List[Camp Name],0)-1,0,1,1),"")</f>
        <v>Open</v>
      </c>
      <c r="AV289" s="105"/>
    </row>
    <row r="290" spans="1:48" s="78" customFormat="1" ht="19.5" customHeight="1" x14ac:dyDescent="0.25">
      <c r="A290" s="208">
        <f t="shared" si="7"/>
        <v>60.466666666666669</v>
      </c>
      <c r="B290" s="208">
        <f>YEAR(Data_NFI_t[[#This Row],[Distribution Date]])</f>
        <v>2013</v>
      </c>
      <c r="C290" s="719">
        <v>41620</v>
      </c>
      <c r="D290" s="395" t="s">
        <v>658</v>
      </c>
      <c r="E290" s="394" t="s">
        <v>658</v>
      </c>
      <c r="F290" s="395" t="s">
        <v>7</v>
      </c>
      <c r="G290" s="646" t="s">
        <v>814</v>
      </c>
      <c r="H290" s="646" t="s">
        <v>36</v>
      </c>
      <c r="I290" s="646">
        <v>743</v>
      </c>
      <c r="J290" s="646"/>
      <c r="K290" s="646"/>
      <c r="L290" s="42"/>
      <c r="M290" s="42"/>
      <c r="N290" s="42">
        <v>743</v>
      </c>
      <c r="O290" s="42"/>
      <c r="P290" s="42">
        <v>743</v>
      </c>
      <c r="Q290" s="42"/>
      <c r="R290" s="42"/>
      <c r="S290" s="42">
        <v>743</v>
      </c>
      <c r="T290" s="410"/>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55">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09">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09">
        <f>IF(NFI_Expiration=1,IF($A290&lt;VLOOKUP(X$5,NFI,5,0),1,0)*Data_NFI_t[[#This Row],[Solar Lantern]],0)</f>
        <v>0</v>
      </c>
      <c r="AT290" s="105" t="str">
        <f ca="1">IFERROR(OFFSET(Camp_List[P_Code],MATCH(Data_NFI_t[[#This Row],[Camp Name]],Camp_List[Camp Name],0)-1,0,1,1),"")</f>
        <v>MMR012CMP014</v>
      </c>
      <c r="AU290" s="412" t="str">
        <f ca="1">IFERROR(OFFSET(Camp_List[Status],MATCH(Data_NFI_t[[#This Row],[Camp Name]],Camp_List[Camp Name],0)-1,0,1,1),"")</f>
        <v>Open</v>
      </c>
      <c r="AV290" s="105"/>
    </row>
    <row r="291" spans="1:48" s="78" customFormat="1" ht="19.5" customHeight="1" x14ac:dyDescent="0.25">
      <c r="A291" s="208">
        <f t="shared" si="7"/>
        <v>60.7</v>
      </c>
      <c r="B291" s="208">
        <f>YEAR(Data_NFI_t[[#This Row],[Distribution Date]])</f>
        <v>2013</v>
      </c>
      <c r="C291" s="719">
        <v>41613</v>
      </c>
      <c r="D291" s="395" t="s">
        <v>270</v>
      </c>
      <c r="E291" s="394" t="s">
        <v>270</v>
      </c>
      <c r="F291" s="395" t="s">
        <v>7</v>
      </c>
      <c r="G291" s="646" t="s">
        <v>17</v>
      </c>
      <c r="H291" s="646" t="s">
        <v>586</v>
      </c>
      <c r="I291" s="646"/>
      <c r="J291" s="646"/>
      <c r="K291" s="646"/>
      <c r="L291" s="42"/>
      <c r="M291" s="42"/>
      <c r="N291" s="42">
        <v>2400</v>
      </c>
      <c r="O291" s="42"/>
      <c r="P291" s="42">
        <v>2400</v>
      </c>
      <c r="Q291" s="42">
        <v>1200</v>
      </c>
      <c r="R291" s="42"/>
      <c r="S291" s="42">
        <v>1200</v>
      </c>
      <c r="T291" s="410"/>
      <c r="U291" s="42">
        <v>6000</v>
      </c>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55">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09">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09">
        <f>IF(NFI_Expiration=1,IF($A291&lt;VLOOKUP(X$5,NFI,5,0),1,0)*Data_NFI_t[[#This Row],[Solar Lantern]],0)</f>
        <v>0</v>
      </c>
      <c r="AT291" s="105" t="str">
        <f ca="1">IFERROR(OFFSET(Camp_List[P_Code],MATCH(Data_NFI_t[[#This Row],[Camp Name]],Camp_List[Camp Name],0)-1,0,1,1),"")</f>
        <v>MMR012CMP115</v>
      </c>
      <c r="AU291" s="412" t="str">
        <f ca="1">IFERROR(OFFSET(Camp_List[Status],MATCH(Data_NFI_t[[#This Row],[Camp Name]],Camp_List[Camp Name],0)-1,0,1,1),"")</f>
        <v>Open</v>
      </c>
      <c r="AV291" s="105"/>
    </row>
    <row r="292" spans="1:48" s="78" customFormat="1" ht="19.5" customHeight="1" x14ac:dyDescent="0.25">
      <c r="A292" s="208">
        <f t="shared" si="7"/>
        <v>60.7</v>
      </c>
      <c r="B292" s="208">
        <f>YEAR(Data_NFI_t[[#This Row],[Distribution Date]])</f>
        <v>2013</v>
      </c>
      <c r="C292" s="719">
        <v>41613</v>
      </c>
      <c r="D292" s="395" t="s">
        <v>270</v>
      </c>
      <c r="E292" s="394" t="s">
        <v>270</v>
      </c>
      <c r="F292" s="395" t="s">
        <v>7</v>
      </c>
      <c r="G292" s="646" t="s">
        <v>17</v>
      </c>
      <c r="H292" s="646" t="s">
        <v>586</v>
      </c>
      <c r="I292" s="646"/>
      <c r="J292" s="646"/>
      <c r="K292" s="646"/>
      <c r="L292" s="42"/>
      <c r="M292" s="42"/>
      <c r="N292" s="42"/>
      <c r="O292" s="42">
        <v>33</v>
      </c>
      <c r="P292" s="42"/>
      <c r="Q292" s="42"/>
      <c r="R292" s="42"/>
      <c r="S292" s="42"/>
      <c r="T292" s="410"/>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55">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105">
        <f>IF(NFI_Expiration=1,IF($A292&lt;VLOOKUP(U$5,NFI,5,0),1,0)*Data_NFI_t[[#This Row],[Plastic Mat]],0)*IF(Data_NFI_t[[#This Row],[Distribution Date]]&gt;"01-06-2015",1,2.5)</f>
        <v>0</v>
      </c>
      <c r="AP292" s="709">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09">
        <f>IF(NFI_Expiration=1,IF($A292&lt;VLOOKUP(X$5,NFI,5,0),1,0)*Data_NFI_t[[#This Row],[Solar Lantern]],0)</f>
        <v>0</v>
      </c>
      <c r="AT292" s="105" t="str">
        <f ca="1">IFERROR(OFFSET(Camp_List[P_Code],MATCH(Data_NFI_t[[#This Row],[Camp Name]],Camp_List[Camp Name],0)-1,0,1,1),"")</f>
        <v>MMR012CMP115</v>
      </c>
      <c r="AU292" s="412" t="str">
        <f ca="1">IFERROR(OFFSET(Camp_List[Status],MATCH(Data_NFI_t[[#This Row],[Camp Name]],Camp_List[Camp Name],0)-1,0,1,1),"")</f>
        <v>Open</v>
      </c>
      <c r="AV292" s="105"/>
    </row>
    <row r="293" spans="1:48" s="78" customFormat="1" ht="19.5" customHeight="1" x14ac:dyDescent="0.25">
      <c r="A293" s="208">
        <f t="shared" si="7"/>
        <v>61.233333333333334</v>
      </c>
      <c r="B293" s="208">
        <f>YEAR(Data_NFI_t[[#This Row],[Distribution Date]])</f>
        <v>2013</v>
      </c>
      <c r="C293" s="719">
        <v>41597</v>
      </c>
      <c r="D293" s="395" t="s">
        <v>575</v>
      </c>
      <c r="E293" s="394" t="s">
        <v>575</v>
      </c>
      <c r="F293" s="395" t="s">
        <v>7</v>
      </c>
      <c r="G293" s="646" t="s">
        <v>17</v>
      </c>
      <c r="H293" s="646" t="s">
        <v>587</v>
      </c>
      <c r="I293" s="646"/>
      <c r="J293" s="646"/>
      <c r="K293" s="646"/>
      <c r="L293" s="42">
        <v>731</v>
      </c>
      <c r="M293" s="42"/>
      <c r="N293" s="42"/>
      <c r="O293" s="42"/>
      <c r="P293" s="42"/>
      <c r="Q293" s="42"/>
      <c r="R293" s="42"/>
      <c r="S293" s="42"/>
      <c r="T293" s="410"/>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55">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709">
        <f>IF(NFI_Expiration=1,IF($A293&lt;VLOOKUP(U$5,NFI,5,0),1,0)*Data_NFI_t[[#This Row],[Plastic Mat]],0)</f>
        <v>0</v>
      </c>
      <c r="AP293" s="709">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09">
        <f>IF(NFI_Expiration=1,IF($A293&lt;VLOOKUP(X$5,NFI,5,0),1,0)*Data_NFI_t[[#This Row],[Solar Lantern]],0)</f>
        <v>0</v>
      </c>
      <c r="AT293" s="105" t="str">
        <f ca="1">IFERROR(OFFSET(Camp_List[P_Code],MATCH(Data_NFI_t[[#This Row],[Camp Name]],Camp_List[Camp Name],0)-1,0,1,1),"")</f>
        <v>MMR012CMP116</v>
      </c>
      <c r="AU293" s="412" t="str">
        <f ca="1">IFERROR(OFFSET(Camp_List[Status],MATCH(Data_NFI_t[[#This Row],[Camp Name]],Camp_List[Camp Name],0)-1,0,1,1),"")</f>
        <v>Open</v>
      </c>
      <c r="AV293" s="105"/>
    </row>
    <row r="294" spans="1:48" s="78" customFormat="1" ht="19.5" customHeight="1" x14ac:dyDescent="0.25">
      <c r="A294" s="208">
        <f t="shared" si="7"/>
        <v>61.4</v>
      </c>
      <c r="B294" s="208">
        <f>YEAR(Data_NFI_t[[#This Row],[Distribution Date]])</f>
        <v>2013</v>
      </c>
      <c r="C294" s="719">
        <v>41592</v>
      </c>
      <c r="D294" s="395" t="s">
        <v>575</v>
      </c>
      <c r="E294" s="394" t="s">
        <v>575</v>
      </c>
      <c r="F294" s="395" t="s">
        <v>7</v>
      </c>
      <c r="G294" s="646" t="s">
        <v>17</v>
      </c>
      <c r="H294" s="646" t="s">
        <v>587</v>
      </c>
      <c r="I294" s="646"/>
      <c r="J294" s="646"/>
      <c r="K294" s="646"/>
      <c r="L294" s="42">
        <v>264</v>
      </c>
      <c r="M294" s="42"/>
      <c r="N294" s="42"/>
      <c r="O294" s="42"/>
      <c r="P294" s="42"/>
      <c r="Q294" s="42"/>
      <c r="R294" s="42"/>
      <c r="S294" s="42"/>
      <c r="T294" s="410"/>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55">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709">
        <f>IF(NFI_Expiration=1,IF($A294&lt;VLOOKUP(U$5,NFI,5,0),1,0)*Data_NFI_t[[#This Row],[Plastic Mat]],0)</f>
        <v>0</v>
      </c>
      <c r="AP294" s="709">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09">
        <f>IF(NFI_Expiration=1,IF($A294&lt;VLOOKUP(X$5,NFI,5,0),1,0)*Data_NFI_t[[#This Row],[Solar Lantern]],0)</f>
        <v>0</v>
      </c>
      <c r="AT294" s="105" t="str">
        <f ca="1">IFERROR(OFFSET(Camp_List[P_Code],MATCH(Data_NFI_t[[#This Row],[Camp Name]],Camp_List[Camp Name],0)-1,0,1,1),"")</f>
        <v>MMR012CMP116</v>
      </c>
      <c r="AU294" s="412" t="str">
        <f ca="1">IFERROR(OFFSET(Camp_List[Status],MATCH(Data_NFI_t[[#This Row],[Camp Name]],Camp_List[Camp Name],0)-1,0,1,1),"")</f>
        <v>Open</v>
      </c>
      <c r="AV294" s="105"/>
    </row>
    <row r="295" spans="1:48" s="78" customFormat="1" ht="19.5" customHeight="1" x14ac:dyDescent="0.25">
      <c r="A295" s="208">
        <f t="shared" si="7"/>
        <v>61.43333333333333</v>
      </c>
      <c r="B295" s="208">
        <f>YEAR(Data_NFI_t[[#This Row],[Distribution Date]])</f>
        <v>2013</v>
      </c>
      <c r="C295" s="719">
        <v>41591</v>
      </c>
      <c r="D295" s="395" t="s">
        <v>270</v>
      </c>
      <c r="E295" s="394" t="s">
        <v>270</v>
      </c>
      <c r="F295" s="395" t="s">
        <v>7</v>
      </c>
      <c r="G295" s="646" t="s">
        <v>14</v>
      </c>
      <c r="H295" s="646" t="s">
        <v>42</v>
      </c>
      <c r="I295" s="646">
        <v>48</v>
      </c>
      <c r="J295" s="646"/>
      <c r="K295" s="646"/>
      <c r="L295" s="42"/>
      <c r="M295" s="42"/>
      <c r="N295" s="42"/>
      <c r="O295" s="42"/>
      <c r="P295" s="42"/>
      <c r="Q295" s="42"/>
      <c r="R295" s="42"/>
      <c r="S295" s="42"/>
      <c r="T295" s="410"/>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55">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105">
        <f>IF(NFI_Expiration=1,IF($A295&lt;VLOOKUP(U$5,NFI,5,0),1,0)*Data_NFI_t[[#This Row],[Plastic Mat]],0)*IF(Data_NFI_t[[#This Row],[Distribution Date]]&gt;"01-06-2015",1,2.5)</f>
        <v>0</v>
      </c>
      <c r="AP295" s="709">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09">
        <f>IF(NFI_Expiration=1,IF($A295&lt;VLOOKUP(X$5,NFI,5,0),1,0)*Data_NFI_t[[#This Row],[Solar Lantern]],0)</f>
        <v>0</v>
      </c>
      <c r="AT295" s="105" t="str">
        <f ca="1">IFERROR(OFFSET(Camp_List[P_Code],MATCH(Data_NFI_t[[#This Row],[Camp Name]],Camp_List[Camp Name],0)-1,0,1,1),"")</f>
        <v>MMR012CMP020</v>
      </c>
      <c r="AU295" s="412" t="str">
        <f ca="1">IFERROR(OFFSET(Camp_List[Status],MATCH(Data_NFI_t[[#This Row],[Camp Name]],Camp_List[Camp Name],0)-1,0,1,1),"")</f>
        <v>Returned</v>
      </c>
      <c r="AV295" s="105"/>
    </row>
    <row r="296" spans="1:48" s="78" customFormat="1" ht="19.5" customHeight="1" x14ac:dyDescent="0.25">
      <c r="A296" s="208">
        <f t="shared" si="7"/>
        <v>61.43333333333333</v>
      </c>
      <c r="B296" s="208">
        <f>YEAR(Data_NFI_t[[#This Row],[Distribution Date]])</f>
        <v>2013</v>
      </c>
      <c r="C296" s="719">
        <v>41591</v>
      </c>
      <c r="D296" s="395" t="s">
        <v>270</v>
      </c>
      <c r="E296" s="394" t="s">
        <v>270</v>
      </c>
      <c r="F296" s="395" t="s">
        <v>7</v>
      </c>
      <c r="G296" s="646" t="s">
        <v>14</v>
      </c>
      <c r="H296" s="646" t="s">
        <v>45</v>
      </c>
      <c r="I296" s="646">
        <v>187</v>
      </c>
      <c r="J296" s="646"/>
      <c r="K296" s="646"/>
      <c r="L296" s="42"/>
      <c r="M296" s="42"/>
      <c r="N296" s="42"/>
      <c r="O296" s="42"/>
      <c r="P296" s="42"/>
      <c r="Q296" s="42"/>
      <c r="R296" s="42"/>
      <c r="S296" s="42"/>
      <c r="T296" s="410"/>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55">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105">
        <f>IF(NFI_Expiration=1,IF($A296&lt;VLOOKUP(U$5,NFI,5,0),1,0)*Data_NFI_t[[#This Row],[Plastic Mat]],0)*IF(Data_NFI_t[[#This Row],[Distribution Date]]&gt;"01-06-2015",1,2.5)</f>
        <v>0</v>
      </c>
      <c r="AP296" s="709">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09">
        <f>IF(NFI_Expiration=1,IF($A296&lt;VLOOKUP(X$5,NFI,5,0),1,0)*Data_NFI_t[[#This Row],[Solar Lantern]],0)</f>
        <v>0</v>
      </c>
      <c r="AT296" s="105" t="str">
        <f ca="1">IFERROR(OFFSET(Camp_List[P_Code],MATCH(Data_NFI_t[[#This Row],[Camp Name]],Camp_List[Camp Name],0)-1,0,1,1),"")</f>
        <v>MMR012CMP023</v>
      </c>
      <c r="AU296" s="412" t="str">
        <f ca="1">IFERROR(OFFSET(Camp_List[Status],MATCH(Data_NFI_t[[#This Row],[Camp Name]],Camp_List[Camp Name],0)-1,0,1,1),"")</f>
        <v>Open</v>
      </c>
      <c r="AV296" s="105"/>
    </row>
    <row r="297" spans="1:48" s="78" customFormat="1" ht="19.5" customHeight="1" x14ac:dyDescent="0.25">
      <c r="A297" s="208">
        <f t="shared" si="7"/>
        <v>61.43333333333333</v>
      </c>
      <c r="B297" s="208">
        <f>YEAR(Data_NFI_t[[#This Row],[Distribution Date]])</f>
        <v>2013</v>
      </c>
      <c r="C297" s="719">
        <v>41591</v>
      </c>
      <c r="D297" s="395" t="s">
        <v>575</v>
      </c>
      <c r="E297" s="394" t="s">
        <v>575</v>
      </c>
      <c r="F297" s="395" t="s">
        <v>7</v>
      </c>
      <c r="G297" s="646" t="s">
        <v>17</v>
      </c>
      <c r="H297" s="646" t="s">
        <v>587</v>
      </c>
      <c r="I297" s="646"/>
      <c r="J297" s="646"/>
      <c r="K297" s="646"/>
      <c r="L297" s="42">
        <v>200</v>
      </c>
      <c r="M297" s="42"/>
      <c r="N297" s="42"/>
      <c r="O297" s="42"/>
      <c r="P297" s="42"/>
      <c r="Q297" s="42"/>
      <c r="R297" s="42"/>
      <c r="S297" s="42"/>
      <c r="T297" s="410"/>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55">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709">
        <f>IF(NFI_Expiration=1,IF($A297&lt;VLOOKUP(U$5,NFI,5,0),1,0)*Data_NFI_t[[#This Row],[Plastic Mat]],0)</f>
        <v>0</v>
      </c>
      <c r="AP297" s="709">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09">
        <f>IF(NFI_Expiration=1,IF($A297&lt;VLOOKUP(X$5,NFI,5,0),1,0)*Data_NFI_t[[#This Row],[Solar Lantern]],0)</f>
        <v>0</v>
      </c>
      <c r="AT297" s="105" t="str">
        <f ca="1">IFERROR(OFFSET(Camp_List[P_Code],MATCH(Data_NFI_t[[#This Row],[Camp Name]],Camp_List[Camp Name],0)-1,0,1,1),"")</f>
        <v>MMR012CMP116</v>
      </c>
      <c r="AU297" s="412" t="str">
        <f ca="1">IFERROR(OFFSET(Camp_List[Status],MATCH(Data_NFI_t[[#This Row],[Camp Name]],Camp_List[Camp Name],0)-1,0,1,1),"")</f>
        <v>Open</v>
      </c>
      <c r="AV297" s="105"/>
    </row>
    <row r="298" spans="1:48" s="78" customFormat="1" ht="19.5" customHeight="1" x14ac:dyDescent="0.25">
      <c r="A298" s="208">
        <f t="shared" si="7"/>
        <v>61.43333333333333</v>
      </c>
      <c r="B298" s="208">
        <f>YEAR(Data_NFI_t[[#This Row],[Distribution Date]])</f>
        <v>2013</v>
      </c>
      <c r="C298" s="719">
        <v>41591</v>
      </c>
      <c r="D298" s="395" t="s">
        <v>575</v>
      </c>
      <c r="E298" s="394" t="s">
        <v>575</v>
      </c>
      <c r="F298" s="395" t="s">
        <v>7</v>
      </c>
      <c r="G298" s="646" t="s">
        <v>17</v>
      </c>
      <c r="H298" s="646" t="s">
        <v>587</v>
      </c>
      <c r="I298" s="646"/>
      <c r="J298" s="646"/>
      <c r="K298" s="646"/>
      <c r="L298" s="42">
        <v>103</v>
      </c>
      <c r="M298" s="42"/>
      <c r="N298" s="42"/>
      <c r="O298" s="42"/>
      <c r="P298" s="42"/>
      <c r="Q298" s="42"/>
      <c r="R298" s="42"/>
      <c r="S298" s="42"/>
      <c r="T298" s="410"/>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55">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709">
        <f>IF(NFI_Expiration=1,IF($A298&lt;VLOOKUP(U$5,NFI,5,0),1,0)*Data_NFI_t[[#This Row],[Plastic Mat]],0)</f>
        <v>0</v>
      </c>
      <c r="AP298" s="709">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09">
        <f>IF(NFI_Expiration=1,IF($A298&lt;VLOOKUP(X$5,NFI,5,0),1,0)*Data_NFI_t[[#This Row],[Solar Lantern]],0)</f>
        <v>0</v>
      </c>
      <c r="AT298" s="105" t="str">
        <f ca="1">IFERROR(OFFSET(Camp_List[P_Code],MATCH(Data_NFI_t[[#This Row],[Camp Name]],Camp_List[Camp Name],0)-1,0,1,1),"")</f>
        <v>MMR012CMP116</v>
      </c>
      <c r="AU298" s="412" t="str">
        <f ca="1">IFERROR(OFFSET(Camp_List[Status],MATCH(Data_NFI_t[[#This Row],[Camp Name]],Camp_List[Camp Name],0)-1,0,1,1),"")</f>
        <v>Open</v>
      </c>
      <c r="AV298" s="105"/>
    </row>
    <row r="299" spans="1:48" s="78" customFormat="1" ht="19.5" customHeight="1" x14ac:dyDescent="0.25">
      <c r="A299" s="208">
        <f t="shared" si="7"/>
        <v>61.43333333333333</v>
      </c>
      <c r="B299" s="208">
        <f>YEAR(Data_NFI_t[[#This Row],[Distribution Date]])</f>
        <v>2013</v>
      </c>
      <c r="C299" s="719">
        <v>41591</v>
      </c>
      <c r="D299" s="395" t="s">
        <v>270</v>
      </c>
      <c r="E299" s="394" t="s">
        <v>270</v>
      </c>
      <c r="F299" s="395" t="s">
        <v>7</v>
      </c>
      <c r="G299" s="646" t="s">
        <v>14</v>
      </c>
      <c r="H299" s="646" t="s">
        <v>51</v>
      </c>
      <c r="I299" s="646">
        <v>340</v>
      </c>
      <c r="J299" s="646"/>
      <c r="K299" s="646"/>
      <c r="L299" s="42"/>
      <c r="M299" s="42"/>
      <c r="N299" s="42"/>
      <c r="O299" s="42"/>
      <c r="P299" s="42"/>
      <c r="Q299" s="42"/>
      <c r="R299" s="42"/>
      <c r="S299" s="42"/>
      <c r="T299" s="410"/>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55">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09">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09">
        <f>IF(NFI_Expiration=1,IF($A299&lt;VLOOKUP(X$5,NFI,5,0),1,0)*Data_NFI_t[[#This Row],[Solar Lantern]],0)</f>
        <v>0</v>
      </c>
      <c r="AT299" s="105" t="str">
        <f ca="1">IFERROR(OFFSET(Camp_List[P_Code],MATCH(Data_NFI_t[[#This Row],[Camp Name]],Camp_List[Camp Name],0)-1,0,1,1),"")</f>
        <v>MMR012CMP029</v>
      </c>
      <c r="AU299" s="412" t="str">
        <f ca="1">IFERROR(OFFSET(Camp_List[Status],MATCH(Data_NFI_t[[#This Row],[Camp Name]],Camp_List[Camp Name],0)-1,0,1,1),"")</f>
        <v>Returned</v>
      </c>
      <c r="AV299" s="105"/>
    </row>
    <row r="300" spans="1:48" s="78" customFormat="1" ht="19.5" customHeight="1" x14ac:dyDescent="0.25">
      <c r="A300" s="208">
        <f t="shared" si="7"/>
        <v>61.466666666666669</v>
      </c>
      <c r="B300" s="208">
        <f>YEAR(Data_NFI_t[[#This Row],[Distribution Date]])</f>
        <v>2013</v>
      </c>
      <c r="C300" s="719">
        <v>41590</v>
      </c>
      <c r="D300" s="395" t="s">
        <v>270</v>
      </c>
      <c r="E300" s="394" t="s">
        <v>270</v>
      </c>
      <c r="F300" s="395" t="s">
        <v>7</v>
      </c>
      <c r="G300" s="646" t="s">
        <v>14</v>
      </c>
      <c r="H300" s="646" t="s">
        <v>47</v>
      </c>
      <c r="I300" s="646">
        <v>36</v>
      </c>
      <c r="J300" s="646"/>
      <c r="K300" s="646"/>
      <c r="L300" s="42"/>
      <c r="M300" s="42"/>
      <c r="N300" s="42">
        <v>28</v>
      </c>
      <c r="O300" s="42">
        <v>83</v>
      </c>
      <c r="P300" s="42">
        <v>28</v>
      </c>
      <c r="Q300" s="42">
        <v>14</v>
      </c>
      <c r="R300" s="42">
        <v>14</v>
      </c>
      <c r="S300" s="42">
        <v>14</v>
      </c>
      <c r="T300" s="410"/>
      <c r="U300" s="42">
        <v>28</v>
      </c>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55">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09">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09">
        <f>IF(NFI_Expiration=1,IF($A300&lt;VLOOKUP(X$5,NFI,5,0),1,0)*Data_NFI_t[[#This Row],[Solar Lantern]],0)</f>
        <v>0</v>
      </c>
      <c r="AT300" s="105" t="str">
        <f ca="1">IFERROR(OFFSET(Camp_List[P_Code],MATCH(Data_NFI_t[[#This Row],[Camp Name]],Camp_List[Camp Name],0)-1,0,1,1),"")</f>
        <v>MMR012CMP025</v>
      </c>
      <c r="AU300" s="412" t="str">
        <f ca="1">IFERROR(OFFSET(Camp_List[Status],MATCH(Data_NFI_t[[#This Row],[Camp Name]],Camp_List[Camp Name],0)-1,0,1,1),"")</f>
        <v>Returned</v>
      </c>
      <c r="AV300" s="105"/>
    </row>
    <row r="301" spans="1:48" s="78" customFormat="1" ht="19.5" customHeight="1" x14ac:dyDescent="0.25">
      <c r="A301" s="208">
        <f t="shared" si="7"/>
        <v>61.466666666666669</v>
      </c>
      <c r="B301" s="208">
        <f>YEAR(Data_NFI_t[[#This Row],[Distribution Date]])</f>
        <v>2013</v>
      </c>
      <c r="C301" s="719">
        <v>41590</v>
      </c>
      <c r="D301" s="395" t="s">
        <v>575</v>
      </c>
      <c r="E301" s="394" t="s">
        <v>575</v>
      </c>
      <c r="F301" s="395" t="s">
        <v>7</v>
      </c>
      <c r="G301" s="646" t="s">
        <v>17</v>
      </c>
      <c r="H301" s="646" t="s">
        <v>59</v>
      </c>
      <c r="I301" s="646"/>
      <c r="J301" s="646"/>
      <c r="K301" s="646"/>
      <c r="L301" s="42">
        <v>395</v>
      </c>
      <c r="M301" s="42"/>
      <c r="N301" s="42"/>
      <c r="O301" s="42"/>
      <c r="P301" s="42"/>
      <c r="Q301" s="42"/>
      <c r="R301" s="42"/>
      <c r="S301" s="42"/>
      <c r="T301" s="410"/>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55">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709">
        <f>IF(NFI_Expiration=1,IF($A301&lt;VLOOKUP(U$5,NFI,5,0),1,0)*Data_NFI_t[[#This Row],[Plastic Mat]],0)</f>
        <v>0</v>
      </c>
      <c r="AP301" s="709">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09">
        <f>IF(NFI_Expiration=1,IF($A301&lt;VLOOKUP(X$5,NFI,5,0),1,0)*Data_NFI_t[[#This Row],[Solar Lantern]],0)</f>
        <v>0</v>
      </c>
      <c r="AT301" s="105" t="str">
        <f ca="1">IFERROR(OFFSET(Camp_List[P_Code],MATCH(Data_NFI_t[[#This Row],[Camp Name]],Camp_List[Camp Name],0)-1,0,1,1),"")</f>
        <v>MMR012CMP039</v>
      </c>
      <c r="AU301" s="412" t="str">
        <f ca="1">IFERROR(OFFSET(Camp_List[Status],MATCH(Data_NFI_t[[#This Row],[Camp Name]],Camp_List[Camp Name],0)-1,0,1,1),"")</f>
        <v>Open</v>
      </c>
      <c r="AV301" s="105"/>
    </row>
    <row r="302" spans="1:48" s="78" customFormat="1" ht="19.5" customHeight="1" x14ac:dyDescent="0.25">
      <c r="A302" s="208">
        <f t="shared" si="7"/>
        <v>61.466666666666669</v>
      </c>
      <c r="B302" s="208">
        <f>YEAR(Data_NFI_t[[#This Row],[Distribution Date]])</f>
        <v>2013</v>
      </c>
      <c r="C302" s="719">
        <v>41590</v>
      </c>
      <c r="D302" s="395" t="s">
        <v>270</v>
      </c>
      <c r="E302" s="394" t="s">
        <v>270</v>
      </c>
      <c r="F302" s="395" t="s">
        <v>7</v>
      </c>
      <c r="G302" s="646" t="s">
        <v>14</v>
      </c>
      <c r="H302" s="646" t="s">
        <v>52</v>
      </c>
      <c r="I302" s="646">
        <v>220</v>
      </c>
      <c r="J302" s="646"/>
      <c r="K302" s="646"/>
      <c r="L302" s="42"/>
      <c r="M302" s="42"/>
      <c r="N302" s="42"/>
      <c r="O302" s="42"/>
      <c r="P302" s="42"/>
      <c r="Q302" s="42"/>
      <c r="R302" s="42"/>
      <c r="S302" s="42"/>
      <c r="T302" s="410"/>
      <c r="U302" s="42"/>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55">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09">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09">
        <f>IF(NFI_Expiration=1,IF($A302&lt;VLOOKUP(X$5,NFI,5,0),1,0)*Data_NFI_t[[#This Row],[Solar Lantern]],0)</f>
        <v>0</v>
      </c>
      <c r="AT302" s="105" t="str">
        <f ca="1">IFERROR(OFFSET(Camp_List[P_Code],MATCH(Data_NFI_t[[#This Row],[Camp Name]],Camp_List[Camp Name],0)-1,0,1,1),"")</f>
        <v>MMR012CMP030</v>
      </c>
      <c r="AU302" s="412" t="str">
        <f ca="1">IFERROR(OFFSET(Camp_List[Status],MATCH(Data_NFI_t[[#This Row],[Camp Name]],Camp_List[Camp Name],0)-1,0,1,1),"")</f>
        <v>Relocated</v>
      </c>
      <c r="AV302" s="105"/>
    </row>
    <row r="303" spans="1:48" s="78" customFormat="1" ht="19.5" customHeight="1" x14ac:dyDescent="0.25">
      <c r="A303" s="208">
        <f t="shared" si="7"/>
        <v>61.466666666666669</v>
      </c>
      <c r="B303" s="208">
        <f>YEAR(Data_NFI_t[[#This Row],[Distribution Date]])</f>
        <v>2013</v>
      </c>
      <c r="C303" s="719">
        <v>41590</v>
      </c>
      <c r="D303" s="395" t="s">
        <v>270</v>
      </c>
      <c r="E303" s="394" t="s">
        <v>270</v>
      </c>
      <c r="F303" s="395" t="s">
        <v>7</v>
      </c>
      <c r="G303" s="646" t="s">
        <v>14</v>
      </c>
      <c r="H303" s="646" t="s">
        <v>43</v>
      </c>
      <c r="I303" s="646">
        <v>250</v>
      </c>
      <c r="J303" s="646"/>
      <c r="K303" s="646"/>
      <c r="L303" s="42"/>
      <c r="M303" s="42"/>
      <c r="N303" s="42"/>
      <c r="O303" s="42"/>
      <c r="P303" s="42"/>
      <c r="Q303" s="42"/>
      <c r="R303" s="42"/>
      <c r="S303" s="42"/>
      <c r="T303" s="410"/>
      <c r="U303" s="42"/>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55">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09">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09">
        <f>IF(NFI_Expiration=1,IF($A303&lt;VLOOKUP(X$5,NFI,5,0),1,0)*Data_NFI_t[[#This Row],[Solar Lantern]],0)</f>
        <v>0</v>
      </c>
      <c r="AT303" s="105" t="str">
        <f ca="1">IFERROR(OFFSET(Camp_List[P_Code],MATCH(Data_NFI_t[[#This Row],[Camp Name]],Camp_List[Camp Name],0)-1,0,1,1),"")</f>
        <v>MMR012CMP021</v>
      </c>
      <c r="AU303" s="412" t="str">
        <f ca="1">IFERROR(OFFSET(Camp_List[Status],MATCH(Data_NFI_t[[#This Row],[Camp Name]],Camp_List[Camp Name],0)-1,0,1,1),"")</f>
        <v>Returned</v>
      </c>
      <c r="AV303" s="105"/>
    </row>
    <row r="304" spans="1:48" s="78" customFormat="1" ht="19.5" customHeight="1" x14ac:dyDescent="0.25">
      <c r="A304" s="208">
        <f t="shared" si="7"/>
        <v>61.866666666666667</v>
      </c>
      <c r="B304" s="208">
        <f>YEAR(Data_NFI_t[[#This Row],[Distribution Date]])</f>
        <v>2013</v>
      </c>
      <c r="C304" s="719">
        <v>41578</v>
      </c>
      <c r="D304" s="395" t="s">
        <v>270</v>
      </c>
      <c r="E304" s="394" t="s">
        <v>270</v>
      </c>
      <c r="F304" s="395" t="s">
        <v>7</v>
      </c>
      <c r="G304" s="646" t="s">
        <v>14</v>
      </c>
      <c r="H304" s="646" t="s">
        <v>49</v>
      </c>
      <c r="I304" s="646">
        <v>280</v>
      </c>
      <c r="J304" s="646"/>
      <c r="K304" s="646"/>
      <c r="L304" s="42"/>
      <c r="M304" s="42"/>
      <c r="N304" s="42"/>
      <c r="O304" s="42"/>
      <c r="P304" s="42"/>
      <c r="Q304" s="42"/>
      <c r="R304" s="42"/>
      <c r="S304" s="42"/>
      <c r="T304" s="410"/>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55">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09">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09">
        <f>IF(NFI_Expiration=1,IF($A304&lt;VLOOKUP(X$5,NFI,5,0),1,0)*Data_NFI_t[[#This Row],[Solar Lantern]],0)</f>
        <v>0</v>
      </c>
      <c r="AT304" s="105" t="str">
        <f ca="1">IFERROR(OFFSET(Camp_List[P_Code],MATCH(Data_NFI_t[[#This Row],[Camp Name]],Camp_List[Camp Name],0)-1,0,1,1),"")</f>
        <v>MMR012CMP027</v>
      </c>
      <c r="AU304" s="412" t="str">
        <f ca="1">IFERROR(OFFSET(Camp_List[Status],MATCH(Data_NFI_t[[#This Row],[Camp Name]],Camp_List[Camp Name],0)-1,0,1,1),"")</f>
        <v>Returned</v>
      </c>
      <c r="AV304" s="105"/>
    </row>
    <row r="305" spans="1:48" s="78" customFormat="1" ht="19.5" customHeight="1" x14ac:dyDescent="0.25">
      <c r="A305" s="208">
        <f t="shared" si="7"/>
        <v>61.866666666666667</v>
      </c>
      <c r="B305" s="208">
        <f>YEAR(Data_NFI_t[[#This Row],[Distribution Date]])</f>
        <v>2013</v>
      </c>
      <c r="C305" s="719">
        <v>41578</v>
      </c>
      <c r="D305" s="395" t="s">
        <v>270</v>
      </c>
      <c r="E305" s="394" t="s">
        <v>270</v>
      </c>
      <c r="F305" s="395" t="s">
        <v>7</v>
      </c>
      <c r="G305" s="646" t="s">
        <v>14</v>
      </c>
      <c r="H305" s="646" t="s">
        <v>48</v>
      </c>
      <c r="I305" s="646">
        <v>380</v>
      </c>
      <c r="J305" s="646"/>
      <c r="K305" s="646"/>
      <c r="L305" s="42"/>
      <c r="M305" s="42"/>
      <c r="N305" s="42"/>
      <c r="O305" s="42"/>
      <c r="P305" s="42"/>
      <c r="Q305" s="42"/>
      <c r="R305" s="42"/>
      <c r="S305" s="42"/>
      <c r="T305" s="410"/>
      <c r="U305" s="42"/>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55">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09">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09">
        <f>IF(NFI_Expiration=1,IF($A305&lt;VLOOKUP(X$5,NFI,5,0),1,0)*Data_NFI_t[[#This Row],[Solar Lantern]],0)</f>
        <v>0</v>
      </c>
      <c r="AT305" s="105" t="str">
        <f ca="1">IFERROR(OFFSET(Camp_List[P_Code],MATCH(Data_NFI_t[[#This Row],[Camp Name]],Camp_List[Camp Name],0)-1,0,1,1),"")</f>
        <v>MMR012CMP026</v>
      </c>
      <c r="AU305" s="412" t="str">
        <f ca="1">IFERROR(OFFSET(Camp_List[Status],MATCH(Data_NFI_t[[#This Row],[Camp Name]],Camp_List[Camp Name],0)-1,0,1,1),"")</f>
        <v>Returned</v>
      </c>
      <c r="AV305" s="105"/>
    </row>
    <row r="306" spans="1:48" s="78" customFormat="1" ht="19.5" customHeight="1" x14ac:dyDescent="0.25">
      <c r="A306" s="208">
        <f t="shared" si="7"/>
        <v>61.966666666666669</v>
      </c>
      <c r="B306" s="208">
        <f>YEAR(Data_NFI_t[[#This Row],[Distribution Date]])</f>
        <v>2013</v>
      </c>
      <c r="C306" s="719">
        <v>41575</v>
      </c>
      <c r="D306" s="395" t="s">
        <v>270</v>
      </c>
      <c r="E306" s="394" t="s">
        <v>270</v>
      </c>
      <c r="F306" s="395" t="s">
        <v>7</v>
      </c>
      <c r="G306" s="646" t="s">
        <v>14</v>
      </c>
      <c r="H306" s="646" t="s">
        <v>46</v>
      </c>
      <c r="I306" s="646">
        <v>230</v>
      </c>
      <c r="J306" s="646"/>
      <c r="K306" s="646"/>
      <c r="L306" s="42"/>
      <c r="M306" s="42"/>
      <c r="N306" s="42"/>
      <c r="O306" s="42"/>
      <c r="P306" s="42"/>
      <c r="Q306" s="42"/>
      <c r="R306" s="42"/>
      <c r="S306" s="42"/>
      <c r="T306" s="410"/>
      <c r="U306" s="42"/>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55">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09">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09">
        <f>IF(NFI_Expiration=1,IF($A306&lt;VLOOKUP(X$5,NFI,5,0),1,0)*Data_NFI_t[[#This Row],[Solar Lantern]],0)</f>
        <v>0</v>
      </c>
      <c r="AT306" s="105" t="str">
        <f ca="1">IFERROR(OFFSET(Camp_List[P_Code],MATCH(Data_NFI_t[[#This Row],[Camp Name]],Camp_List[Camp Name],0)-1,0,1,1),"")</f>
        <v>MMR012CMP024</v>
      </c>
      <c r="AU306" s="412" t="str">
        <f ca="1">IFERROR(OFFSET(Camp_List[Status],MATCH(Data_NFI_t[[#This Row],[Camp Name]],Camp_List[Camp Name],0)-1,0,1,1),"")</f>
        <v>Returned</v>
      </c>
      <c r="AV306" s="105"/>
    </row>
    <row r="307" spans="1:48" s="78" customFormat="1" ht="19.5" customHeight="1" x14ac:dyDescent="0.25">
      <c r="A307" s="208">
        <f t="shared" si="7"/>
        <v>61.966666666666669</v>
      </c>
      <c r="B307" s="208">
        <f>YEAR(Data_NFI_t[[#This Row],[Distribution Date]])</f>
        <v>2013</v>
      </c>
      <c r="C307" s="719">
        <v>41575</v>
      </c>
      <c r="D307" s="395" t="s">
        <v>270</v>
      </c>
      <c r="E307" s="394" t="s">
        <v>270</v>
      </c>
      <c r="F307" s="395" t="s">
        <v>7</v>
      </c>
      <c r="G307" s="646" t="s">
        <v>14</v>
      </c>
      <c r="H307" s="646" t="s">
        <v>50</v>
      </c>
      <c r="I307" s="646">
        <v>300</v>
      </c>
      <c r="J307" s="646"/>
      <c r="K307" s="646"/>
      <c r="L307" s="42"/>
      <c r="M307" s="42"/>
      <c r="N307" s="42"/>
      <c r="O307" s="42"/>
      <c r="P307" s="42"/>
      <c r="Q307" s="42"/>
      <c r="R307" s="42"/>
      <c r="S307" s="42"/>
      <c r="T307" s="410"/>
      <c r="U307" s="42"/>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55">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09">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09">
        <f>IF(NFI_Expiration=1,IF($A307&lt;VLOOKUP(X$5,NFI,5,0),1,0)*Data_NFI_t[[#This Row],[Solar Lantern]],0)</f>
        <v>0</v>
      </c>
      <c r="AT307" s="105" t="str">
        <f ca="1">IFERROR(OFFSET(Camp_List[P_Code],MATCH(Data_NFI_t[[#This Row],[Camp Name]],Camp_List[Camp Name],0)-1,0,1,1),"")</f>
        <v>MMR012CMP028</v>
      </c>
      <c r="AU307" s="412" t="str">
        <f ca="1">IFERROR(OFFSET(Camp_List[Status],MATCH(Data_NFI_t[[#This Row],[Camp Name]],Camp_List[Camp Name],0)-1,0,1,1),"")</f>
        <v>Returned</v>
      </c>
      <c r="AV307" s="105"/>
    </row>
    <row r="308" spans="1:48" s="78" customFormat="1" ht="19.5" customHeight="1" x14ac:dyDescent="0.25">
      <c r="A308" s="208">
        <f t="shared" si="7"/>
        <v>62.166666666666664</v>
      </c>
      <c r="B308" s="208">
        <f>YEAR(Data_NFI_t[[#This Row],[Distribution Date]])</f>
        <v>2013</v>
      </c>
      <c r="C308" s="719">
        <v>41569</v>
      </c>
      <c r="D308" s="395" t="s">
        <v>270</v>
      </c>
      <c r="E308" s="394" t="s">
        <v>270</v>
      </c>
      <c r="F308" s="395" t="s">
        <v>7</v>
      </c>
      <c r="G308" s="646" t="s">
        <v>17</v>
      </c>
      <c r="H308" s="646" t="s">
        <v>76</v>
      </c>
      <c r="I308" s="646"/>
      <c r="J308" s="646"/>
      <c r="K308" s="646"/>
      <c r="L308" s="42"/>
      <c r="M308" s="42"/>
      <c r="N308" s="42"/>
      <c r="O308" s="42"/>
      <c r="P308" s="42"/>
      <c r="Q308" s="42"/>
      <c r="R308" s="42">
        <v>250</v>
      </c>
      <c r="S308" s="42"/>
      <c r="T308" s="410"/>
      <c r="U308" s="42"/>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55">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09">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09">
        <f>IF(NFI_Expiration=1,IF($A308&lt;VLOOKUP(X$5,NFI,5,0),1,0)*Data_NFI_t[[#This Row],[Solar Lantern]],0)</f>
        <v>0</v>
      </c>
      <c r="AT308" s="105" t="str">
        <f ca="1">IFERROR(OFFSET(Camp_List[P_Code],MATCH(Data_NFI_t[[#This Row],[Camp Name]],Camp_List[Camp Name],0)-1,0,1,1),"")</f>
        <v>MMR012CMP056</v>
      </c>
      <c r="AU308" s="412" t="str">
        <f ca="1">IFERROR(OFFSET(Camp_List[Status],MATCH(Data_NFI_t[[#This Row],[Camp Name]],Camp_List[Camp Name],0)-1,0,1,1),"")</f>
        <v>Relocated</v>
      </c>
      <c r="AV308" s="105"/>
    </row>
    <row r="309" spans="1:48" s="78" customFormat="1" ht="19.5" customHeight="1" x14ac:dyDescent="0.25">
      <c r="A309" s="208">
        <f t="shared" si="7"/>
        <v>62.3</v>
      </c>
      <c r="B309" s="208">
        <f>YEAR(Data_NFI_t[[#This Row],[Distribution Date]])</f>
        <v>2013</v>
      </c>
      <c r="C309" s="719">
        <v>41565</v>
      </c>
      <c r="D309" s="395" t="s">
        <v>575</v>
      </c>
      <c r="E309" s="394" t="s">
        <v>575</v>
      </c>
      <c r="F309" s="395" t="s">
        <v>7</v>
      </c>
      <c r="G309" s="646" t="s">
        <v>17</v>
      </c>
      <c r="H309" s="646" t="s">
        <v>587</v>
      </c>
      <c r="I309" s="646"/>
      <c r="J309" s="646"/>
      <c r="K309" s="646"/>
      <c r="L309" s="42">
        <v>948</v>
      </c>
      <c r="M309" s="42"/>
      <c r="N309" s="42"/>
      <c r="O309" s="42"/>
      <c r="P309" s="42"/>
      <c r="Q309" s="42"/>
      <c r="R309" s="42"/>
      <c r="S309" s="42"/>
      <c r="T309" s="410"/>
      <c r="U309" s="42"/>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55">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09">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09">
        <f>IF(NFI_Expiration=1,IF($A309&lt;VLOOKUP(X$5,NFI,5,0),1,0)*Data_NFI_t[[#This Row],[Solar Lantern]],0)</f>
        <v>0</v>
      </c>
      <c r="AT309" s="105" t="str">
        <f ca="1">IFERROR(OFFSET(Camp_List[P_Code],MATCH(Data_NFI_t[[#This Row],[Camp Name]],Camp_List[Camp Name],0)-1,0,1,1),"")</f>
        <v>MMR012CMP116</v>
      </c>
      <c r="AU309" s="412" t="str">
        <f ca="1">IFERROR(OFFSET(Camp_List[Status],MATCH(Data_NFI_t[[#This Row],[Camp Name]],Camp_List[Camp Name],0)-1,0,1,1),"")</f>
        <v>Open</v>
      </c>
      <c r="AV309" s="105"/>
    </row>
    <row r="310" spans="1:48" s="78" customFormat="1" ht="19.5" customHeight="1" x14ac:dyDescent="0.25">
      <c r="A310" s="208">
        <f t="shared" si="7"/>
        <v>62.333333333333336</v>
      </c>
      <c r="B310" s="208">
        <f>YEAR(Data_NFI_t[[#This Row],[Distribution Date]])</f>
        <v>2013</v>
      </c>
      <c r="C310" s="719">
        <v>41564</v>
      </c>
      <c r="D310" s="395" t="s">
        <v>270</v>
      </c>
      <c r="E310" s="394" t="s">
        <v>270</v>
      </c>
      <c r="F310" s="395" t="s">
        <v>7</v>
      </c>
      <c r="G310" s="646" t="s">
        <v>17</v>
      </c>
      <c r="H310" s="646" t="s">
        <v>590</v>
      </c>
      <c r="I310" s="646"/>
      <c r="J310" s="646"/>
      <c r="K310" s="646"/>
      <c r="L310" s="42"/>
      <c r="M310" s="42"/>
      <c r="N310" s="42"/>
      <c r="O310" s="42"/>
      <c r="P310" s="42"/>
      <c r="Q310" s="42"/>
      <c r="R310" s="42">
        <v>631</v>
      </c>
      <c r="S310" s="42"/>
      <c r="T310" s="410"/>
      <c r="U310" s="42"/>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55">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09">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09">
        <f>IF(NFI_Expiration=1,IF($A310&lt;VLOOKUP(X$5,NFI,5,0),1,0)*Data_NFI_t[[#This Row],[Solar Lantern]],0)</f>
        <v>0</v>
      </c>
      <c r="AT310" s="105" t="str">
        <f ca="1">IFERROR(OFFSET(Camp_List[P_Code],MATCH(Data_NFI_t[[#This Row],[Camp Name]],Camp_List[Camp Name],0)-1,0,1,1),"")</f>
        <v>MMR012CMP111</v>
      </c>
      <c r="AU310" s="412" t="str">
        <f ca="1">IFERROR(OFFSET(Camp_List[Status],MATCH(Data_NFI_t[[#This Row],[Camp Name]],Camp_List[Camp Name],0)-1,0,1,1),"")</f>
        <v>Relocated</v>
      </c>
      <c r="AV310" s="105"/>
    </row>
    <row r="311" spans="1:48" s="78" customFormat="1" ht="19.5" customHeight="1" x14ac:dyDescent="0.25">
      <c r="A311" s="208">
        <f t="shared" si="7"/>
        <v>63.266666666666666</v>
      </c>
      <c r="B311" s="208">
        <f>YEAR(Data_NFI_t[[#This Row],[Distribution Date]])</f>
        <v>2013</v>
      </c>
      <c r="C311" s="719">
        <v>41536</v>
      </c>
      <c r="D311" s="395" t="s">
        <v>270</v>
      </c>
      <c r="E311" s="394" t="s">
        <v>270</v>
      </c>
      <c r="F311" s="395" t="s">
        <v>7</v>
      </c>
      <c r="G311" s="646" t="s">
        <v>13</v>
      </c>
      <c r="H311" s="646" t="s">
        <v>37</v>
      </c>
      <c r="I311" s="646"/>
      <c r="J311" s="646"/>
      <c r="K311" s="646"/>
      <c r="L311" s="42"/>
      <c r="M311" s="42"/>
      <c r="N311" s="42">
        <v>42</v>
      </c>
      <c r="O311" s="42"/>
      <c r="P311" s="42">
        <v>42</v>
      </c>
      <c r="Q311" s="42">
        <v>21</v>
      </c>
      <c r="R311" s="42">
        <v>21</v>
      </c>
      <c r="S311" s="42">
        <v>21</v>
      </c>
      <c r="T311" s="410"/>
      <c r="U311" s="42">
        <v>42</v>
      </c>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55">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09">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09">
        <f>IF(NFI_Expiration=1,IF($A311&lt;VLOOKUP(X$5,NFI,5,0),1,0)*Data_NFI_t[[#This Row],[Solar Lantern]],0)</f>
        <v>0</v>
      </c>
      <c r="AT311" s="105" t="str">
        <f ca="1">IFERROR(OFFSET(Camp_List[P_Code],MATCH(Data_NFI_t[[#This Row],[Camp Name]],Camp_List[Camp Name],0)-1,0,1,1),"")</f>
        <v>MMR012CMP015</v>
      </c>
      <c r="AU311" s="412" t="str">
        <f ca="1">IFERROR(OFFSET(Camp_List[Status],MATCH(Data_NFI_t[[#This Row],[Camp Name]],Camp_List[Camp Name],0)-1,0,1,1),"")</f>
        <v>Relocated</v>
      </c>
      <c r="AV311" s="105"/>
    </row>
    <row r="312" spans="1:48" s="78" customFormat="1" ht="19.5" customHeight="1" x14ac:dyDescent="0.25">
      <c r="A312" s="208">
        <f t="shared" si="7"/>
        <v>63.3</v>
      </c>
      <c r="B312" s="208">
        <f>YEAR(Data_NFI_t[[#This Row],[Distribution Date]])</f>
        <v>2013</v>
      </c>
      <c r="C312" s="719">
        <v>41535</v>
      </c>
      <c r="D312" s="395" t="s">
        <v>270</v>
      </c>
      <c r="E312" s="394" t="s">
        <v>270</v>
      </c>
      <c r="F312" s="395" t="s">
        <v>7</v>
      </c>
      <c r="G312" s="646" t="s">
        <v>13</v>
      </c>
      <c r="H312" s="646" t="s">
        <v>40</v>
      </c>
      <c r="I312" s="646"/>
      <c r="J312" s="646"/>
      <c r="K312" s="646"/>
      <c r="L312" s="42"/>
      <c r="M312" s="42"/>
      <c r="N312" s="42">
        <v>2658</v>
      </c>
      <c r="O312" s="42">
        <v>940</v>
      </c>
      <c r="P312" s="42">
        <v>1880</v>
      </c>
      <c r="Q312" s="42">
        <v>940</v>
      </c>
      <c r="R312" s="42">
        <v>1718</v>
      </c>
      <c r="S312" s="42">
        <v>940</v>
      </c>
      <c r="T312" s="410"/>
      <c r="U312" s="42">
        <v>1880</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55">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09">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09">
        <f>IF(NFI_Expiration=1,IF($A312&lt;VLOOKUP(X$5,NFI,5,0),1,0)*Data_NFI_t[[#This Row],[Solar Lantern]],0)</f>
        <v>0</v>
      </c>
      <c r="AT312" s="105" t="str">
        <f ca="1">IFERROR(OFFSET(Camp_List[P_Code],MATCH(Data_NFI_t[[#This Row],[Camp Name]],Camp_List[Camp Name],0)-1,0,1,1),"")</f>
        <v>MMR012CMP018</v>
      </c>
      <c r="AU312" s="412" t="str">
        <f ca="1">IFERROR(OFFSET(Camp_List[Status],MATCH(Data_NFI_t[[#This Row],[Camp Name]],Camp_List[Camp Name],0)-1,0,1,1),"")</f>
        <v>Open</v>
      </c>
      <c r="AV312" s="105"/>
    </row>
    <row r="313" spans="1:48" s="78" customFormat="1" ht="19.5" customHeight="1" x14ac:dyDescent="0.25">
      <c r="A313" s="208">
        <f t="shared" si="7"/>
        <v>63.5</v>
      </c>
      <c r="B313" s="208">
        <f>YEAR(Data_NFI_t[[#This Row],[Distribution Date]])</f>
        <v>2013</v>
      </c>
      <c r="C313" s="719">
        <v>41529</v>
      </c>
      <c r="D313" s="395" t="s">
        <v>270</v>
      </c>
      <c r="E313" s="394" t="s">
        <v>270</v>
      </c>
      <c r="F313" s="395" t="s">
        <v>7</v>
      </c>
      <c r="G313" s="646" t="s">
        <v>932</v>
      </c>
      <c r="H313" s="646" t="s">
        <v>578</v>
      </c>
      <c r="I313" s="646"/>
      <c r="J313" s="646"/>
      <c r="K313" s="646"/>
      <c r="L313" s="42"/>
      <c r="M313" s="42"/>
      <c r="N313" s="42">
        <v>62</v>
      </c>
      <c r="O313" s="42"/>
      <c r="P313" s="42">
        <v>62</v>
      </c>
      <c r="Q313" s="42">
        <v>31</v>
      </c>
      <c r="R313" s="42">
        <v>31</v>
      </c>
      <c r="S313" s="42">
        <v>31</v>
      </c>
      <c r="T313" s="410"/>
      <c r="U313" s="42">
        <v>62</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55">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09">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09">
        <f>IF(NFI_Expiration=1,IF($A313&lt;VLOOKUP(X$5,NFI,5,0),1,0)*Data_NFI_t[[#This Row],[Solar Lantern]],0)</f>
        <v>0</v>
      </c>
      <c r="AT313" s="105" t="str">
        <f ca="1">IFERROR(OFFSET(Camp_List[P_Code],MATCH(Data_NFI_t[[#This Row],[Camp Name]],Camp_List[Camp Name],0)-1,0,1,1),"")</f>
        <v>MMR012CMP117</v>
      </c>
      <c r="AU313" s="412" t="str">
        <f ca="1">IFERROR(OFFSET(Camp_List[Status],MATCH(Data_NFI_t[[#This Row],[Camp Name]],Camp_List[Camp Name],0)-1,0,1,1),"")</f>
        <v>Relocated</v>
      </c>
      <c r="AV313" s="105"/>
    </row>
    <row r="314" spans="1:48" s="78" customFormat="1" ht="19.5" customHeight="1" x14ac:dyDescent="0.25">
      <c r="A314" s="208">
        <f t="shared" si="7"/>
        <v>64.033333333333331</v>
      </c>
      <c r="B314" s="208">
        <f>YEAR(Data_NFI_t[[#This Row],[Distribution Date]])</f>
        <v>2013</v>
      </c>
      <c r="C314" s="719">
        <v>41513</v>
      </c>
      <c r="D314" s="395" t="s">
        <v>270</v>
      </c>
      <c r="E314" s="394" t="s">
        <v>270</v>
      </c>
      <c r="F314" s="395" t="s">
        <v>7</v>
      </c>
      <c r="G314" s="646" t="s">
        <v>13</v>
      </c>
      <c r="H314" s="646" t="s">
        <v>38</v>
      </c>
      <c r="I314" s="646"/>
      <c r="J314" s="646"/>
      <c r="K314" s="646"/>
      <c r="L314" s="42"/>
      <c r="M314" s="42"/>
      <c r="N314" s="42">
        <v>1652</v>
      </c>
      <c r="O314" s="42">
        <v>99</v>
      </c>
      <c r="P314" s="42">
        <v>1652</v>
      </c>
      <c r="Q314" s="42">
        <v>826</v>
      </c>
      <c r="R314" s="42">
        <v>826</v>
      </c>
      <c r="S314" s="42">
        <v>826</v>
      </c>
      <c r="T314" s="410"/>
      <c r="U314" s="42">
        <v>1652</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55">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09">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09">
        <f>IF(NFI_Expiration=1,IF($A314&lt;VLOOKUP(X$5,NFI,5,0),1,0)*Data_NFI_t[[#This Row],[Solar Lantern]],0)</f>
        <v>0</v>
      </c>
      <c r="AT314" s="105" t="str">
        <f ca="1">IFERROR(OFFSET(Camp_List[P_Code],MATCH(Data_NFI_t[[#This Row],[Camp Name]],Camp_List[Camp Name],0)-1,0,1,1),"")</f>
        <v>MMR012CMP016</v>
      </c>
      <c r="AU314" s="412" t="str">
        <f ca="1">IFERROR(OFFSET(Camp_List[Status],MATCH(Data_NFI_t[[#This Row],[Camp Name]],Camp_List[Camp Name],0)-1,0,1,1),"")</f>
        <v>Open</v>
      </c>
      <c r="AV314" s="105"/>
    </row>
    <row r="315" spans="1:48" s="78" customFormat="1" ht="19.5" customHeight="1" x14ac:dyDescent="0.25">
      <c r="A315" s="208">
        <f t="shared" si="7"/>
        <v>64.5</v>
      </c>
      <c r="B315" s="208">
        <f>YEAR(Data_NFI_t[[#This Row],[Distribution Date]])</f>
        <v>2013</v>
      </c>
      <c r="C315" s="719">
        <v>41499</v>
      </c>
      <c r="D315" s="395" t="s">
        <v>270</v>
      </c>
      <c r="E315" s="394" t="s">
        <v>270</v>
      </c>
      <c r="F315" s="395" t="s">
        <v>7</v>
      </c>
      <c r="G315" s="646" t="s">
        <v>13</v>
      </c>
      <c r="H315" s="646" t="s">
        <v>39</v>
      </c>
      <c r="I315" s="646"/>
      <c r="J315" s="646"/>
      <c r="K315" s="646"/>
      <c r="L315" s="42"/>
      <c r="M315" s="42"/>
      <c r="N315" s="42">
        <v>0</v>
      </c>
      <c r="O315" s="42">
        <v>203</v>
      </c>
      <c r="P315" s="42">
        <v>0</v>
      </c>
      <c r="Q315" s="42"/>
      <c r="R315" s="42"/>
      <c r="S315" s="42"/>
      <c r="T315" s="410"/>
      <c r="U315" s="42">
        <v>448</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55">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09">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09">
        <f>IF(NFI_Expiration=1,IF($A315&lt;VLOOKUP(X$5,NFI,5,0),1,0)*Data_NFI_t[[#This Row],[Solar Lantern]],0)</f>
        <v>0</v>
      </c>
      <c r="AT315" s="105" t="str">
        <f ca="1">IFERROR(OFFSET(Camp_List[P_Code],MATCH(Data_NFI_t[[#This Row],[Camp Name]],Camp_List[Camp Name],0)-1,0,1,1),"")</f>
        <v/>
      </c>
      <c r="AU315" s="412" t="str">
        <f ca="1">IFERROR(OFFSET(Camp_List[Status],MATCH(Data_NFI_t[[#This Row],[Camp Name]],Camp_List[Camp Name],0)-1,0,1,1),"")</f>
        <v/>
      </c>
      <c r="AV315" s="105"/>
    </row>
    <row r="316" spans="1:48" s="78" customFormat="1" ht="19.5" customHeight="1" x14ac:dyDescent="0.25">
      <c r="A316" s="208">
        <f t="shared" si="7"/>
        <v>64.666666666666671</v>
      </c>
      <c r="B316" s="208">
        <f>YEAR(Data_NFI_t[[#This Row],[Distribution Date]])</f>
        <v>2013</v>
      </c>
      <c r="C316" s="719">
        <v>41494</v>
      </c>
      <c r="D316" s="395" t="s">
        <v>270</v>
      </c>
      <c r="E316" s="394" t="s">
        <v>270</v>
      </c>
      <c r="F316" s="395" t="s">
        <v>7</v>
      </c>
      <c r="G316" s="646" t="s">
        <v>814</v>
      </c>
      <c r="H316" s="646" t="s">
        <v>35</v>
      </c>
      <c r="I316" s="646"/>
      <c r="J316" s="646"/>
      <c r="K316" s="646"/>
      <c r="L316" s="42">
        <v>44</v>
      </c>
      <c r="M316" s="42"/>
      <c r="N316" s="42">
        <v>88</v>
      </c>
      <c r="O316" s="42">
        <v>44</v>
      </c>
      <c r="P316" s="42">
        <v>88</v>
      </c>
      <c r="Q316" s="42">
        <v>44</v>
      </c>
      <c r="R316" s="42">
        <v>44</v>
      </c>
      <c r="S316" s="42">
        <v>44</v>
      </c>
      <c r="T316" s="410"/>
      <c r="U316" s="42">
        <v>88</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55">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09">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09">
        <f>IF(NFI_Expiration=1,IF($A316&lt;VLOOKUP(X$5,NFI,5,0),1,0)*Data_NFI_t[[#This Row],[Solar Lantern]],0)</f>
        <v>0</v>
      </c>
      <c r="AT316" s="105" t="str">
        <f ca="1">IFERROR(OFFSET(Camp_List[P_Code],MATCH(Data_NFI_t[[#This Row],[Camp Name]],Camp_List[Camp Name],0)-1,0,1,1),"")</f>
        <v>MMR012CMP013</v>
      </c>
      <c r="AU316" s="412" t="str">
        <f ca="1">IFERROR(OFFSET(Camp_List[Status],MATCH(Data_NFI_t[[#This Row],[Camp Name]],Camp_List[Camp Name],0)-1,0,1,1),"")</f>
        <v>Relocated</v>
      </c>
      <c r="AV316" s="105"/>
    </row>
    <row r="317" spans="1:48" s="78" customFormat="1" ht="19.5" customHeight="1" x14ac:dyDescent="0.25">
      <c r="A317" s="208">
        <f t="shared" si="7"/>
        <v>64.666666666666671</v>
      </c>
      <c r="B317" s="208">
        <f>YEAR(Data_NFI_t[[#This Row],[Distribution Date]])</f>
        <v>2013</v>
      </c>
      <c r="C317" s="719">
        <v>41494</v>
      </c>
      <c r="D317" s="395" t="s">
        <v>270</v>
      </c>
      <c r="E317" s="394" t="s">
        <v>270</v>
      </c>
      <c r="F317" s="395" t="s">
        <v>7</v>
      </c>
      <c r="G317" s="646" t="s">
        <v>814</v>
      </c>
      <c r="H317" s="646" t="s">
        <v>36</v>
      </c>
      <c r="I317" s="646"/>
      <c r="J317" s="646"/>
      <c r="K317" s="646"/>
      <c r="L317" s="42">
        <v>755</v>
      </c>
      <c r="M317" s="42"/>
      <c r="N317" s="42">
        <v>1510</v>
      </c>
      <c r="O317" s="42">
        <v>755</v>
      </c>
      <c r="P317" s="42">
        <v>1510</v>
      </c>
      <c r="Q317" s="42">
        <v>755</v>
      </c>
      <c r="R317" s="42">
        <v>755</v>
      </c>
      <c r="S317" s="42">
        <v>755</v>
      </c>
      <c r="T317" s="410"/>
      <c r="U317" s="42">
        <v>1510</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55">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09">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09">
        <f>IF(NFI_Expiration=1,IF($A317&lt;VLOOKUP(X$5,NFI,5,0),1,0)*Data_NFI_t[[#This Row],[Solar Lantern]],0)</f>
        <v>0</v>
      </c>
      <c r="AT317" s="105" t="str">
        <f ca="1">IFERROR(OFFSET(Camp_List[P_Code],MATCH(Data_NFI_t[[#This Row],[Camp Name]],Camp_List[Camp Name],0)-1,0,1,1),"")</f>
        <v>MMR012CMP014</v>
      </c>
      <c r="AU317" s="412" t="str">
        <f ca="1">IFERROR(OFFSET(Camp_List[Status],MATCH(Data_NFI_t[[#This Row],[Camp Name]],Camp_List[Camp Name],0)-1,0,1,1),"")</f>
        <v>Open</v>
      </c>
      <c r="AV317" s="105"/>
    </row>
    <row r="318" spans="1:48" s="78" customFormat="1" ht="19.5" customHeight="1" x14ac:dyDescent="0.25">
      <c r="A318" s="208">
        <f t="shared" si="7"/>
        <v>65.63333333333334</v>
      </c>
      <c r="B318" s="208">
        <f>YEAR(Data_NFI_t[[#This Row],[Distribution Date]])</f>
        <v>2013</v>
      </c>
      <c r="C318" s="719">
        <v>41465</v>
      </c>
      <c r="D318" s="395" t="s">
        <v>270</v>
      </c>
      <c r="E318" s="394" t="s">
        <v>270</v>
      </c>
      <c r="F318" s="395" t="s">
        <v>7</v>
      </c>
      <c r="G318" s="646" t="s">
        <v>11</v>
      </c>
      <c r="H318" s="646" t="s">
        <v>25</v>
      </c>
      <c r="I318" s="646"/>
      <c r="J318" s="646"/>
      <c r="K318" s="646"/>
      <c r="L318" s="42"/>
      <c r="M318" s="42"/>
      <c r="N318" s="42">
        <v>240</v>
      </c>
      <c r="O318" s="42"/>
      <c r="P318" s="42">
        <v>240</v>
      </c>
      <c r="Q318" s="42">
        <v>120</v>
      </c>
      <c r="R318" s="42">
        <v>120</v>
      </c>
      <c r="S318" s="42">
        <v>120</v>
      </c>
      <c r="T318" s="410"/>
      <c r="U318" s="42">
        <v>240</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55">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09">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09">
        <f>IF(NFI_Expiration=1,IF($A318&lt;VLOOKUP(X$5,NFI,5,0),1,0)*Data_NFI_t[[#This Row],[Solar Lantern]],0)</f>
        <v>0</v>
      </c>
      <c r="AT318" s="105" t="str">
        <f ca="1">IFERROR(OFFSET(Camp_List[P_Code],MATCH(Data_NFI_t[[#This Row],[Camp Name]],Camp_List[Camp Name],0)-1,0,1,1),"")</f>
        <v>MMR012CMP003</v>
      </c>
      <c r="AU318" s="412" t="str">
        <f ca="1">IFERROR(OFFSET(Camp_List[Status],MATCH(Data_NFI_t[[#This Row],[Camp Name]],Camp_List[Camp Name],0)-1,0,1,1),"")</f>
        <v>Returned</v>
      </c>
      <c r="AV318" s="105"/>
    </row>
    <row r="319" spans="1:48" s="78" customFormat="1" ht="19.5" customHeight="1" x14ac:dyDescent="0.25">
      <c r="A319" s="208">
        <f t="shared" si="7"/>
        <v>65.63333333333334</v>
      </c>
      <c r="B319" s="208">
        <f>YEAR(Data_NFI_t[[#This Row],[Distribution Date]])</f>
        <v>2013</v>
      </c>
      <c r="C319" s="719">
        <v>41465</v>
      </c>
      <c r="D319" s="395" t="s">
        <v>270</v>
      </c>
      <c r="E319" s="394" t="s">
        <v>270</v>
      </c>
      <c r="F319" s="395" t="s">
        <v>7</v>
      </c>
      <c r="G319" s="646" t="s">
        <v>11</v>
      </c>
      <c r="H319" s="646" t="s">
        <v>24</v>
      </c>
      <c r="I319" s="646"/>
      <c r="J319" s="646"/>
      <c r="K319" s="646"/>
      <c r="L319" s="42"/>
      <c r="M319" s="42"/>
      <c r="N319" s="42">
        <v>428</v>
      </c>
      <c r="O319" s="42"/>
      <c r="P319" s="42">
        <v>428</v>
      </c>
      <c r="Q319" s="42">
        <v>214</v>
      </c>
      <c r="R319" s="42">
        <v>214</v>
      </c>
      <c r="S319" s="42">
        <v>214</v>
      </c>
      <c r="T319" s="410"/>
      <c r="U319" s="42">
        <v>428</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55">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09">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09">
        <f>IF(NFI_Expiration=1,IF($A319&lt;VLOOKUP(X$5,NFI,5,0),1,0)*Data_NFI_t[[#This Row],[Solar Lantern]],0)</f>
        <v>0</v>
      </c>
      <c r="AT319" s="105" t="str">
        <f ca="1">IFERROR(OFFSET(Camp_List[P_Code],MATCH(Data_NFI_t[[#This Row],[Camp Name]],Camp_List[Camp Name],0)-1,0,1,1),"")</f>
        <v>MMR012CMP002</v>
      </c>
      <c r="AU319" s="412" t="str">
        <f ca="1">IFERROR(OFFSET(Camp_List[Status],MATCH(Data_NFI_t[[#This Row],[Camp Name]],Camp_List[Camp Name],0)-1,0,1,1),"")</f>
        <v>Returned</v>
      </c>
      <c r="AV319" s="105"/>
    </row>
    <row r="320" spans="1:48" s="78" customFormat="1" ht="19.5" customHeight="1" x14ac:dyDescent="0.25">
      <c r="A320" s="208">
        <f t="shared" si="7"/>
        <v>65.666666666666671</v>
      </c>
      <c r="B320" s="208">
        <f>YEAR(Data_NFI_t[[#This Row],[Distribution Date]])</f>
        <v>2013</v>
      </c>
      <c r="C320" s="719">
        <v>41464</v>
      </c>
      <c r="D320" s="395" t="s">
        <v>270</v>
      </c>
      <c r="E320" s="394" t="s">
        <v>270</v>
      </c>
      <c r="F320" s="395" t="s">
        <v>7</v>
      </c>
      <c r="G320" s="646" t="s">
        <v>11</v>
      </c>
      <c r="H320" s="646" t="s">
        <v>28</v>
      </c>
      <c r="I320" s="646"/>
      <c r="J320" s="646"/>
      <c r="K320" s="646"/>
      <c r="L320" s="42"/>
      <c r="M320" s="42"/>
      <c r="N320" s="42">
        <v>290</v>
      </c>
      <c r="O320" s="42">
        <v>1312</v>
      </c>
      <c r="P320" s="42">
        <v>290</v>
      </c>
      <c r="Q320" s="42">
        <v>145</v>
      </c>
      <c r="R320" s="42">
        <v>145</v>
      </c>
      <c r="S320" s="42">
        <v>145</v>
      </c>
      <c r="T320" s="410"/>
      <c r="U320" s="42">
        <v>290</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55">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09">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09">
        <f>IF(NFI_Expiration=1,IF($A320&lt;VLOOKUP(X$5,NFI,5,0),1,0)*Data_NFI_t[[#This Row],[Solar Lantern]],0)</f>
        <v>0</v>
      </c>
      <c r="AT320" s="105" t="str">
        <f ca="1">IFERROR(OFFSET(Camp_List[P_Code],MATCH(Data_NFI_t[[#This Row],[Camp Name]],Camp_List[Camp Name],0)-1,0,1,1),"")</f>
        <v>MMR012CMP006</v>
      </c>
      <c r="AU320" s="412" t="str">
        <f ca="1">IFERROR(OFFSET(Camp_List[Status],MATCH(Data_NFI_t[[#This Row],[Camp Name]],Camp_List[Camp Name],0)-1,0,1,1),"")</f>
        <v>Returned</v>
      </c>
      <c r="AV320" s="105"/>
    </row>
    <row r="321" spans="1:48" s="78" customFormat="1" ht="19.5" customHeight="1" x14ac:dyDescent="0.25">
      <c r="A321" s="208">
        <f t="shared" si="7"/>
        <v>65.666666666666671</v>
      </c>
      <c r="B321" s="208">
        <f>YEAR(Data_NFI_t[[#This Row],[Distribution Date]])</f>
        <v>2013</v>
      </c>
      <c r="C321" s="719">
        <v>41464</v>
      </c>
      <c r="D321" s="395" t="s">
        <v>270</v>
      </c>
      <c r="E321" s="394" t="s">
        <v>270</v>
      </c>
      <c r="F321" s="395" t="s">
        <v>7</v>
      </c>
      <c r="G321" s="646" t="s">
        <v>11</v>
      </c>
      <c r="H321" s="646" t="s">
        <v>23</v>
      </c>
      <c r="I321" s="646"/>
      <c r="J321" s="646"/>
      <c r="K321" s="646"/>
      <c r="L321" s="42"/>
      <c r="M321" s="42"/>
      <c r="N321" s="42">
        <v>130</v>
      </c>
      <c r="O321" s="42">
        <v>108</v>
      </c>
      <c r="P321" s="42">
        <v>130</v>
      </c>
      <c r="Q321" s="42">
        <v>65</v>
      </c>
      <c r="R321" s="42">
        <v>65</v>
      </c>
      <c r="S321" s="42">
        <v>65</v>
      </c>
      <c r="T321" s="410"/>
      <c r="U321" s="42">
        <v>130</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55">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09">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09">
        <f>IF(NFI_Expiration=1,IF($A321&lt;VLOOKUP(X$5,NFI,5,0),1,0)*Data_NFI_t[[#This Row],[Solar Lantern]],0)</f>
        <v>0</v>
      </c>
      <c r="AT321" s="105" t="str">
        <f ca="1">IFERROR(OFFSET(Camp_List[P_Code],MATCH(Data_NFI_t[[#This Row],[Camp Name]],Camp_List[Camp Name],0)-1,0,1,1),"")</f>
        <v>MMR012CMP001</v>
      </c>
      <c r="AU321" s="412" t="str">
        <f ca="1">IFERROR(OFFSET(Camp_List[Status],MATCH(Data_NFI_t[[#This Row],[Camp Name]],Camp_List[Camp Name],0)-1,0,1,1),"")</f>
        <v>Returned</v>
      </c>
      <c r="AV321" s="105"/>
    </row>
    <row r="322" spans="1:48" s="78" customFormat="1" ht="19.5" customHeight="1" x14ac:dyDescent="0.25">
      <c r="A322" s="208">
        <f t="shared" si="7"/>
        <v>65.666666666666671</v>
      </c>
      <c r="B322" s="208">
        <f>YEAR(Data_NFI_t[[#This Row],[Distribution Date]])</f>
        <v>2013</v>
      </c>
      <c r="C322" s="719">
        <v>41464</v>
      </c>
      <c r="D322" s="395" t="s">
        <v>270</v>
      </c>
      <c r="E322" s="394" t="s">
        <v>270</v>
      </c>
      <c r="F322" s="395" t="s">
        <v>7</v>
      </c>
      <c r="G322" s="646" t="s">
        <v>11</v>
      </c>
      <c r="H322" s="646" t="s">
        <v>30</v>
      </c>
      <c r="I322" s="646"/>
      <c r="J322" s="646"/>
      <c r="K322" s="646"/>
      <c r="L322" s="42"/>
      <c r="M322" s="42"/>
      <c r="N322" s="42">
        <v>490</v>
      </c>
      <c r="O322" s="42"/>
      <c r="P322" s="42">
        <v>490</v>
      </c>
      <c r="Q322" s="42">
        <v>245</v>
      </c>
      <c r="R322" s="42">
        <v>245</v>
      </c>
      <c r="S322" s="42">
        <v>245</v>
      </c>
      <c r="T322" s="410"/>
      <c r="U322" s="42">
        <v>490</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55">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09">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09">
        <f>IF(NFI_Expiration=1,IF($A322&lt;VLOOKUP(X$5,NFI,5,0),1,0)*Data_NFI_t[[#This Row],[Solar Lantern]],0)</f>
        <v>0</v>
      </c>
      <c r="AT322" s="105" t="str">
        <f ca="1">IFERROR(OFFSET(Camp_List[P_Code],MATCH(Data_NFI_t[[#This Row],[Camp Name]],Camp_List[Camp Name],0)-1,0,1,1),"")</f>
        <v>MMR012CMP008</v>
      </c>
      <c r="AU322" s="412" t="str">
        <f ca="1">IFERROR(OFFSET(Camp_List[Status],MATCH(Data_NFI_t[[#This Row],[Camp Name]],Camp_List[Camp Name],0)-1,0,1,1),"")</f>
        <v>Returned</v>
      </c>
      <c r="AV322" s="105"/>
    </row>
    <row r="323" spans="1:48" s="78" customFormat="1" ht="19.5" customHeight="1" x14ac:dyDescent="0.25">
      <c r="A323" s="208">
        <f t="shared" si="7"/>
        <v>65.666666666666671</v>
      </c>
      <c r="B323" s="208">
        <f>YEAR(Data_NFI_t[[#This Row],[Distribution Date]])</f>
        <v>2013</v>
      </c>
      <c r="C323" s="719">
        <v>41464</v>
      </c>
      <c r="D323" s="395" t="s">
        <v>270</v>
      </c>
      <c r="E323" s="394" t="s">
        <v>270</v>
      </c>
      <c r="F323" s="395" t="s">
        <v>7</v>
      </c>
      <c r="G323" s="646" t="s">
        <v>11</v>
      </c>
      <c r="H323" s="646" t="s">
        <v>29</v>
      </c>
      <c r="I323" s="646"/>
      <c r="J323" s="646"/>
      <c r="K323" s="646"/>
      <c r="L323" s="42">
        <v>33</v>
      </c>
      <c r="M323" s="42"/>
      <c r="N323" s="42">
        <v>66</v>
      </c>
      <c r="O323" s="42">
        <v>33</v>
      </c>
      <c r="P323" s="42">
        <v>66</v>
      </c>
      <c r="Q323" s="42">
        <v>33</v>
      </c>
      <c r="R323" s="42">
        <v>33</v>
      </c>
      <c r="S323" s="42">
        <v>33</v>
      </c>
      <c r="T323" s="410"/>
      <c r="U323" s="42">
        <v>66</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55">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09">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09">
        <f>IF(NFI_Expiration=1,IF($A323&lt;VLOOKUP(X$5,NFI,5,0),1,0)*Data_NFI_t[[#This Row],[Solar Lantern]],0)</f>
        <v>0</v>
      </c>
      <c r="AT323" s="105" t="str">
        <f ca="1">IFERROR(OFFSET(Camp_List[P_Code],MATCH(Data_NFI_t[[#This Row],[Camp Name]],Camp_List[Camp Name],0)-1,0,1,1),"")</f>
        <v>MMR012CMP007</v>
      </c>
      <c r="AU323" s="412" t="str">
        <f ca="1">IFERROR(OFFSET(Camp_List[Status],MATCH(Data_NFI_t[[#This Row],[Camp Name]],Camp_List[Camp Name],0)-1,0,1,1),"")</f>
        <v>Close</v>
      </c>
      <c r="AV323" s="105"/>
    </row>
    <row r="324" spans="1:48" s="78" customFormat="1" ht="19.5" customHeight="1" x14ac:dyDescent="0.25">
      <c r="A324" s="208">
        <f t="shared" si="7"/>
        <v>65.666666666666671</v>
      </c>
      <c r="B324" s="208">
        <f>YEAR(Data_NFI_t[[#This Row],[Distribution Date]])</f>
        <v>2013</v>
      </c>
      <c r="C324" s="719">
        <v>41464</v>
      </c>
      <c r="D324" s="395" t="s">
        <v>270</v>
      </c>
      <c r="E324" s="394" t="s">
        <v>270</v>
      </c>
      <c r="F324" s="395" t="s">
        <v>7</v>
      </c>
      <c r="G324" s="646" t="s">
        <v>11</v>
      </c>
      <c r="H324" s="646" t="s">
        <v>29</v>
      </c>
      <c r="I324" s="646"/>
      <c r="J324" s="646"/>
      <c r="K324" s="646"/>
      <c r="L324" s="42"/>
      <c r="M324" s="42"/>
      <c r="N324" s="42"/>
      <c r="O324" s="42"/>
      <c r="P324" s="42"/>
      <c r="Q324" s="42"/>
      <c r="R324" s="42"/>
      <c r="S324" s="42"/>
      <c r="T324" s="410"/>
      <c r="U324" s="42"/>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55">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09">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09">
        <f>IF(NFI_Expiration=1,IF($A324&lt;VLOOKUP(X$5,NFI,5,0),1,0)*Data_NFI_t[[#This Row],[Solar Lantern]],0)</f>
        <v>0</v>
      </c>
      <c r="AT324" s="105" t="str">
        <f ca="1">IFERROR(OFFSET(Camp_List[P_Code],MATCH(Data_NFI_t[[#This Row],[Camp Name]],Camp_List[Camp Name],0)-1,0,1,1),"")</f>
        <v>MMR012CMP007</v>
      </c>
      <c r="AU324" s="412" t="str">
        <f ca="1">IFERROR(OFFSET(Camp_List[Status],MATCH(Data_NFI_t[[#This Row],[Camp Name]],Camp_List[Camp Name],0)-1,0,1,1),"")</f>
        <v>Close</v>
      </c>
      <c r="AV324" s="105"/>
    </row>
    <row r="325" spans="1:48" s="78" customFormat="1" ht="19.5" customHeight="1" x14ac:dyDescent="0.25">
      <c r="A325" s="208">
        <f t="shared" si="7"/>
        <v>65.766666666666666</v>
      </c>
      <c r="B325" s="208">
        <f>YEAR(Data_NFI_t[[#This Row],[Distribution Date]])</f>
        <v>2013</v>
      </c>
      <c r="C325" s="719">
        <v>41461</v>
      </c>
      <c r="D325" s="395" t="s">
        <v>270</v>
      </c>
      <c r="E325" s="394" t="s">
        <v>270</v>
      </c>
      <c r="F325" s="395" t="s">
        <v>7</v>
      </c>
      <c r="G325" s="646" t="s">
        <v>932</v>
      </c>
      <c r="H325" s="646" t="s">
        <v>31</v>
      </c>
      <c r="I325" s="646"/>
      <c r="J325" s="646"/>
      <c r="K325" s="646"/>
      <c r="L325" s="42"/>
      <c r="M325" s="42"/>
      <c r="N325" s="42">
        <v>600</v>
      </c>
      <c r="O325" s="42">
        <v>5</v>
      </c>
      <c r="P325" s="42">
        <v>600</v>
      </c>
      <c r="Q325" s="42">
        <v>300</v>
      </c>
      <c r="R325" s="42">
        <v>300</v>
      </c>
      <c r="S325" s="42">
        <v>300</v>
      </c>
      <c r="T325" s="410"/>
      <c r="U325" s="42">
        <v>600</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55">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09">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09">
        <f>IF(NFI_Expiration=1,IF($A325&lt;VLOOKUP(X$5,NFI,5,0),1,0)*Data_NFI_t[[#This Row],[Solar Lantern]],0)</f>
        <v>0</v>
      </c>
      <c r="AT325" s="105" t="str">
        <f ca="1">IFERROR(OFFSET(Camp_List[P_Code],MATCH(Data_NFI_t[[#This Row],[Camp Name]],Camp_List[Camp Name],0)-1,0,1,1),"")</f>
        <v>MMR012CMP009</v>
      </c>
      <c r="AU325" s="412" t="str">
        <f ca="1">IFERROR(OFFSET(Camp_List[Status],MATCH(Data_NFI_t[[#This Row],[Camp Name]],Camp_List[Camp Name],0)-1,0,1,1),"")</f>
        <v>Returned</v>
      </c>
      <c r="AV325" s="105"/>
    </row>
    <row r="326" spans="1:48" s="78" customFormat="1" ht="19.5" customHeight="1" x14ac:dyDescent="0.25">
      <c r="A326" s="208">
        <f t="shared" si="7"/>
        <v>65.766666666666666</v>
      </c>
      <c r="B326" s="208">
        <f>YEAR(Data_NFI_t[[#This Row],[Distribution Date]])</f>
        <v>2013</v>
      </c>
      <c r="C326" s="719">
        <v>41461</v>
      </c>
      <c r="D326" s="395" t="s">
        <v>270</v>
      </c>
      <c r="E326" s="394" t="s">
        <v>270</v>
      </c>
      <c r="F326" s="395" t="s">
        <v>7</v>
      </c>
      <c r="G326" s="646" t="s">
        <v>11</v>
      </c>
      <c r="H326" s="646" t="s">
        <v>27</v>
      </c>
      <c r="I326" s="646"/>
      <c r="J326" s="646"/>
      <c r="K326" s="646"/>
      <c r="L326" s="42"/>
      <c r="M326" s="42"/>
      <c r="N326" s="42">
        <v>458</v>
      </c>
      <c r="O326" s="42"/>
      <c r="P326" s="42">
        <v>458</v>
      </c>
      <c r="Q326" s="42">
        <v>229</v>
      </c>
      <c r="R326" s="42">
        <v>229</v>
      </c>
      <c r="S326" s="42">
        <v>229</v>
      </c>
      <c r="T326" s="410"/>
      <c r="U326" s="42">
        <v>458</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55">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09">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09">
        <f>IF(NFI_Expiration=1,IF($A326&lt;VLOOKUP(X$5,NFI,5,0),1,0)*Data_NFI_t[[#This Row],[Solar Lantern]],0)</f>
        <v>0</v>
      </c>
      <c r="AT326" s="105" t="str">
        <f ca="1">IFERROR(OFFSET(Camp_List[P_Code],MATCH(Data_NFI_t[[#This Row],[Camp Name]],Camp_List[Camp Name],0)-1,0,1,1),"")</f>
        <v>MMR012CMP005</v>
      </c>
      <c r="AU326" s="412" t="str">
        <f ca="1">IFERROR(OFFSET(Camp_List[Status],MATCH(Data_NFI_t[[#This Row],[Camp Name]],Camp_List[Camp Name],0)-1,0,1,1),"")</f>
        <v>Returned</v>
      </c>
      <c r="AV326" s="105"/>
    </row>
    <row r="327" spans="1:48" s="78" customFormat="1" ht="19.5" customHeight="1" x14ac:dyDescent="0.25">
      <c r="A327" s="208">
        <f t="shared" si="7"/>
        <v>65.766666666666666</v>
      </c>
      <c r="B327" s="208">
        <f>YEAR(Data_NFI_t[[#This Row],[Distribution Date]])</f>
        <v>2013</v>
      </c>
      <c r="C327" s="719">
        <v>41461</v>
      </c>
      <c r="D327" s="395" t="s">
        <v>270</v>
      </c>
      <c r="E327" s="394" t="s">
        <v>270</v>
      </c>
      <c r="F327" s="395" t="s">
        <v>7</v>
      </c>
      <c r="G327" s="646" t="s">
        <v>932</v>
      </c>
      <c r="H327" s="646" t="s">
        <v>32</v>
      </c>
      <c r="I327" s="646"/>
      <c r="J327" s="646"/>
      <c r="K327" s="646"/>
      <c r="L327" s="42"/>
      <c r="M327" s="42"/>
      <c r="N327" s="42">
        <v>730</v>
      </c>
      <c r="O327" s="42"/>
      <c r="P327" s="42">
        <v>730</v>
      </c>
      <c r="Q327" s="42">
        <v>365</v>
      </c>
      <c r="R327" s="42">
        <v>365</v>
      </c>
      <c r="S327" s="42">
        <v>365</v>
      </c>
      <c r="T327" s="410"/>
      <c r="U327" s="42">
        <v>730</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55">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09">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09">
        <f>IF(NFI_Expiration=1,IF($A327&lt;VLOOKUP(X$5,NFI,5,0),1,0)*Data_NFI_t[[#This Row],[Solar Lantern]],0)</f>
        <v>0</v>
      </c>
      <c r="AT327" s="105" t="str">
        <f ca="1">IFERROR(OFFSET(Camp_List[P_Code],MATCH(Data_NFI_t[[#This Row],[Camp Name]],Camp_List[Camp Name],0)-1,0,1,1),"")</f>
        <v>MMR012CMP010</v>
      </c>
      <c r="AU327" s="412" t="str">
        <f ca="1">IFERROR(OFFSET(Camp_List[Status],MATCH(Data_NFI_t[[#This Row],[Camp Name]],Camp_List[Camp Name],0)-1,0,1,1),"")</f>
        <v>Returned</v>
      </c>
      <c r="AV327" s="105"/>
    </row>
    <row r="328" spans="1:48" s="78" customFormat="1" ht="19.5" customHeight="1" x14ac:dyDescent="0.25">
      <c r="A328" s="208">
        <f t="shared" si="7"/>
        <v>65.933333333333337</v>
      </c>
      <c r="B328" s="208">
        <f>YEAR(Data_NFI_t[[#This Row],[Distribution Date]])</f>
        <v>2013</v>
      </c>
      <c r="C328" s="719">
        <v>41456</v>
      </c>
      <c r="D328" s="395" t="s">
        <v>270</v>
      </c>
      <c r="E328" s="394" t="s">
        <v>270</v>
      </c>
      <c r="F328" s="395" t="s">
        <v>7</v>
      </c>
      <c r="G328" s="646" t="s">
        <v>14</v>
      </c>
      <c r="H328" s="646" t="s">
        <v>46</v>
      </c>
      <c r="I328" s="646"/>
      <c r="J328" s="646"/>
      <c r="K328" s="646"/>
      <c r="L328" s="42"/>
      <c r="M328" s="42"/>
      <c r="N328" s="42">
        <v>224</v>
      </c>
      <c r="O328" s="42">
        <v>400</v>
      </c>
      <c r="P328" s="42">
        <v>224</v>
      </c>
      <c r="Q328" s="42">
        <v>112</v>
      </c>
      <c r="R328" s="42">
        <v>112</v>
      </c>
      <c r="S328" s="42">
        <v>112</v>
      </c>
      <c r="T328" s="410"/>
      <c r="U328" s="42">
        <v>224</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55">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09">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09">
        <f>IF(NFI_Expiration=1,IF($A328&lt;VLOOKUP(X$5,NFI,5,0),1,0)*Data_NFI_t[[#This Row],[Solar Lantern]],0)</f>
        <v>0</v>
      </c>
      <c r="AT328" s="105" t="str">
        <f ca="1">IFERROR(OFFSET(Camp_List[P_Code],MATCH(Data_NFI_t[[#This Row],[Camp Name]],Camp_List[Camp Name],0)-1,0,1,1),"")</f>
        <v>MMR012CMP024</v>
      </c>
      <c r="AU328" s="412" t="str">
        <f ca="1">IFERROR(OFFSET(Camp_List[Status],MATCH(Data_NFI_t[[#This Row],[Camp Name]],Camp_List[Camp Name],0)-1,0,1,1),"")</f>
        <v>Returned</v>
      </c>
      <c r="AV328" s="105"/>
    </row>
    <row r="329" spans="1:48" s="78" customFormat="1" ht="19.5" customHeight="1" x14ac:dyDescent="0.25">
      <c r="A329" s="208">
        <f t="shared" si="7"/>
        <v>65.933333333333337</v>
      </c>
      <c r="B329" s="208">
        <f>YEAR(Data_NFI_t[[#This Row],[Distribution Date]])</f>
        <v>2013</v>
      </c>
      <c r="C329" s="719">
        <v>41456</v>
      </c>
      <c r="D329" s="395" t="s">
        <v>270</v>
      </c>
      <c r="E329" s="394" t="s">
        <v>270</v>
      </c>
      <c r="F329" s="395" t="s">
        <v>7</v>
      </c>
      <c r="G329" s="646" t="s">
        <v>14</v>
      </c>
      <c r="H329" s="646" t="s">
        <v>49</v>
      </c>
      <c r="I329" s="646"/>
      <c r="J329" s="646"/>
      <c r="K329" s="646"/>
      <c r="L329" s="42"/>
      <c r="M329" s="42"/>
      <c r="N329" s="42">
        <v>232</v>
      </c>
      <c r="O329" s="42">
        <v>220</v>
      </c>
      <c r="P329" s="42">
        <v>232</v>
      </c>
      <c r="Q329" s="42">
        <v>116</v>
      </c>
      <c r="R329" s="42">
        <v>116</v>
      </c>
      <c r="S329" s="42">
        <v>116</v>
      </c>
      <c r="T329" s="410"/>
      <c r="U329" s="42">
        <v>232</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55">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09">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09">
        <f>IF(NFI_Expiration=1,IF($A329&lt;VLOOKUP(X$5,NFI,5,0),1,0)*Data_NFI_t[[#This Row],[Solar Lantern]],0)</f>
        <v>0</v>
      </c>
      <c r="AT329" s="105" t="str">
        <f ca="1">IFERROR(OFFSET(Camp_List[P_Code],MATCH(Data_NFI_t[[#This Row],[Camp Name]],Camp_List[Camp Name],0)-1,0,1,1),"")</f>
        <v>MMR012CMP027</v>
      </c>
      <c r="AU329" s="412" t="str">
        <f ca="1">IFERROR(OFFSET(Camp_List[Status],MATCH(Data_NFI_t[[#This Row],[Camp Name]],Camp_List[Camp Name],0)-1,0,1,1),"")</f>
        <v>Returned</v>
      </c>
      <c r="AV329" s="105"/>
    </row>
    <row r="330" spans="1:48" s="78" customFormat="1" ht="19.5" customHeight="1" x14ac:dyDescent="0.25">
      <c r="A330" s="208">
        <f t="shared" si="7"/>
        <v>65.933333333333337</v>
      </c>
      <c r="B330" s="208">
        <f>YEAR(Data_NFI_t[[#This Row],[Distribution Date]])</f>
        <v>2013</v>
      </c>
      <c r="C330" s="719">
        <v>41456</v>
      </c>
      <c r="D330" s="395" t="s">
        <v>270</v>
      </c>
      <c r="E330" s="394" t="s">
        <v>270</v>
      </c>
      <c r="F330" s="395" t="s">
        <v>7</v>
      </c>
      <c r="G330" s="646" t="s">
        <v>14</v>
      </c>
      <c r="H330" s="646" t="s">
        <v>48</v>
      </c>
      <c r="I330" s="646"/>
      <c r="J330" s="646"/>
      <c r="K330" s="646"/>
      <c r="L330" s="42"/>
      <c r="M330" s="42"/>
      <c r="N330" s="42">
        <v>460</v>
      </c>
      <c r="O330" s="42">
        <v>145</v>
      </c>
      <c r="P330" s="42">
        <v>460</v>
      </c>
      <c r="Q330" s="42">
        <v>230</v>
      </c>
      <c r="R330" s="42">
        <v>230</v>
      </c>
      <c r="S330" s="42">
        <v>230</v>
      </c>
      <c r="T330" s="410"/>
      <c r="U330" s="42">
        <v>460</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55">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09">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09">
        <f>IF(NFI_Expiration=1,IF($A330&lt;VLOOKUP(X$5,NFI,5,0),1,0)*Data_NFI_t[[#This Row],[Solar Lantern]],0)</f>
        <v>0</v>
      </c>
      <c r="AT330" s="105" t="str">
        <f ca="1">IFERROR(OFFSET(Camp_List[P_Code],MATCH(Data_NFI_t[[#This Row],[Camp Name]],Camp_List[Camp Name],0)-1,0,1,1),"")</f>
        <v>MMR012CMP026</v>
      </c>
      <c r="AU330" s="412" t="str">
        <f ca="1">IFERROR(OFFSET(Camp_List[Status],MATCH(Data_NFI_t[[#This Row],[Camp Name]],Camp_List[Camp Name],0)-1,0,1,1),"")</f>
        <v>Returned</v>
      </c>
      <c r="AV330" s="105"/>
    </row>
    <row r="331" spans="1:48" s="78" customFormat="1" ht="19.5" customHeight="1" x14ac:dyDescent="0.25">
      <c r="A331" s="208">
        <f t="shared" si="7"/>
        <v>65.933333333333337</v>
      </c>
      <c r="B331" s="208">
        <f>YEAR(Data_NFI_t[[#This Row],[Distribution Date]])</f>
        <v>2013</v>
      </c>
      <c r="C331" s="719">
        <v>41456</v>
      </c>
      <c r="D331" s="395" t="s">
        <v>270</v>
      </c>
      <c r="E331" s="394" t="s">
        <v>270</v>
      </c>
      <c r="F331" s="395" t="s">
        <v>7</v>
      </c>
      <c r="G331" s="646" t="s">
        <v>14</v>
      </c>
      <c r="H331" s="646" t="s">
        <v>52</v>
      </c>
      <c r="I331" s="646"/>
      <c r="J331" s="646"/>
      <c r="K331" s="646"/>
      <c r="L331" s="42"/>
      <c r="M331" s="42"/>
      <c r="N331" s="42">
        <v>318</v>
      </c>
      <c r="O331" s="42">
        <v>4</v>
      </c>
      <c r="P331" s="42">
        <v>318</v>
      </c>
      <c r="Q331" s="42">
        <v>159</v>
      </c>
      <c r="R331" s="42">
        <v>159</v>
      </c>
      <c r="S331" s="42">
        <v>159</v>
      </c>
      <c r="T331" s="410"/>
      <c r="U331" s="42">
        <v>318</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55">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09">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09">
        <f>IF(NFI_Expiration=1,IF($A331&lt;VLOOKUP(X$5,NFI,5,0),1,0)*Data_NFI_t[[#This Row],[Solar Lantern]],0)</f>
        <v>0</v>
      </c>
      <c r="AT331" s="105" t="str">
        <f ca="1">IFERROR(OFFSET(Camp_List[P_Code],MATCH(Data_NFI_t[[#This Row],[Camp Name]],Camp_List[Camp Name],0)-1,0,1,1),"")</f>
        <v>MMR012CMP030</v>
      </c>
      <c r="AU331" s="412" t="str">
        <f ca="1">IFERROR(OFFSET(Camp_List[Status],MATCH(Data_NFI_t[[#This Row],[Camp Name]],Camp_List[Camp Name],0)-1,0,1,1),"")</f>
        <v>Relocated</v>
      </c>
      <c r="AV331" s="105"/>
    </row>
    <row r="332" spans="1:48" s="78" customFormat="1" ht="19.5" customHeight="1" x14ac:dyDescent="0.25">
      <c r="A332" s="208">
        <f t="shared" si="7"/>
        <v>65.933333333333337</v>
      </c>
      <c r="B332" s="208">
        <f>YEAR(Data_NFI_t[[#This Row],[Distribution Date]])</f>
        <v>2013</v>
      </c>
      <c r="C332" s="719">
        <v>41456</v>
      </c>
      <c r="D332" s="395" t="s">
        <v>474</v>
      </c>
      <c r="E332" s="394" t="s">
        <v>270</v>
      </c>
      <c r="F332" s="395" t="s">
        <v>7</v>
      </c>
      <c r="G332" s="646" t="s">
        <v>14</v>
      </c>
      <c r="H332" s="646" t="s">
        <v>42</v>
      </c>
      <c r="I332" s="646"/>
      <c r="J332" s="646"/>
      <c r="K332" s="646"/>
      <c r="L332" s="42"/>
      <c r="M332" s="42">
        <v>60</v>
      </c>
      <c r="N332" s="42"/>
      <c r="O332" s="42"/>
      <c r="P332" s="42"/>
      <c r="Q332" s="42"/>
      <c r="R332" s="42"/>
      <c r="S332" s="42"/>
      <c r="T332" s="410"/>
      <c r="U332" s="42"/>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55">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09">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09">
        <f>IF(NFI_Expiration=1,IF($A332&lt;VLOOKUP(X$5,NFI,5,0),1,0)*Data_NFI_t[[#This Row],[Solar Lantern]],0)</f>
        <v>0</v>
      </c>
      <c r="AT332" s="105" t="str">
        <f ca="1">IFERROR(OFFSET(Camp_List[P_Code],MATCH(Data_NFI_t[[#This Row],[Camp Name]],Camp_List[Camp Name],0)-1,0,1,1),"")</f>
        <v>MMR012CMP020</v>
      </c>
      <c r="AU332" s="412" t="str">
        <f ca="1">IFERROR(OFFSET(Camp_List[Status],MATCH(Data_NFI_t[[#This Row],[Camp Name]],Camp_List[Camp Name],0)-1,0,1,1),"")</f>
        <v>Returned</v>
      </c>
      <c r="AV332" s="105"/>
    </row>
    <row r="333" spans="1:48" s="78" customFormat="1" ht="19.5" customHeight="1" x14ac:dyDescent="0.25">
      <c r="A333" s="208">
        <f t="shared" si="7"/>
        <v>65.933333333333337</v>
      </c>
      <c r="B333" s="208">
        <f>YEAR(Data_NFI_t[[#This Row],[Distribution Date]])</f>
        <v>2013</v>
      </c>
      <c r="C333" s="719">
        <v>41456</v>
      </c>
      <c r="D333" s="395" t="s">
        <v>270</v>
      </c>
      <c r="E333" s="394" t="s">
        <v>270</v>
      </c>
      <c r="F333" s="395" t="s">
        <v>7</v>
      </c>
      <c r="G333" s="646" t="s">
        <v>14</v>
      </c>
      <c r="H333" s="646" t="s">
        <v>42</v>
      </c>
      <c r="I333" s="646"/>
      <c r="J333" s="646"/>
      <c r="K333" s="646"/>
      <c r="L333" s="42"/>
      <c r="M333" s="42"/>
      <c r="N333" s="42">
        <v>166</v>
      </c>
      <c r="O333" s="42">
        <v>81</v>
      </c>
      <c r="P333" s="42">
        <v>166</v>
      </c>
      <c r="Q333" s="42">
        <v>83</v>
      </c>
      <c r="R333" s="42">
        <v>83</v>
      </c>
      <c r="S333" s="42">
        <v>83</v>
      </c>
      <c r="T333" s="410"/>
      <c r="U333" s="42">
        <v>166</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55">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09">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09">
        <f>IF(NFI_Expiration=1,IF($A333&lt;VLOOKUP(X$5,NFI,5,0),1,0)*Data_NFI_t[[#This Row],[Solar Lantern]],0)</f>
        <v>0</v>
      </c>
      <c r="AT333" s="105" t="str">
        <f ca="1">IFERROR(OFFSET(Camp_List[P_Code],MATCH(Data_NFI_t[[#This Row],[Camp Name]],Camp_List[Camp Name],0)-1,0,1,1),"")</f>
        <v>MMR012CMP020</v>
      </c>
      <c r="AU333" s="412" t="str">
        <f ca="1">IFERROR(OFFSET(Camp_List[Status],MATCH(Data_NFI_t[[#This Row],[Camp Name]],Camp_List[Camp Name],0)-1,0,1,1),"")</f>
        <v>Returned</v>
      </c>
      <c r="AV333" s="105"/>
    </row>
    <row r="334" spans="1:48" s="78" customFormat="1" ht="19.5" customHeight="1" x14ac:dyDescent="0.25">
      <c r="A334" s="208">
        <f t="shared" si="7"/>
        <v>65.933333333333337</v>
      </c>
      <c r="B334" s="208">
        <f>YEAR(Data_NFI_t[[#This Row],[Distribution Date]])</f>
        <v>2013</v>
      </c>
      <c r="C334" s="719">
        <v>41456</v>
      </c>
      <c r="D334" s="395" t="s">
        <v>270</v>
      </c>
      <c r="E334" s="394" t="s">
        <v>270</v>
      </c>
      <c r="F334" s="395" t="s">
        <v>7</v>
      </c>
      <c r="G334" s="646" t="s">
        <v>14</v>
      </c>
      <c r="H334" s="646" t="s">
        <v>45</v>
      </c>
      <c r="I334" s="646"/>
      <c r="J334" s="646"/>
      <c r="K334" s="646"/>
      <c r="L334" s="42"/>
      <c r="M334" s="42"/>
      <c r="N334" s="42">
        <v>326</v>
      </c>
      <c r="O334" s="42">
        <v>326</v>
      </c>
      <c r="P334" s="42">
        <v>326</v>
      </c>
      <c r="Q334" s="42">
        <v>163</v>
      </c>
      <c r="R334" s="42">
        <v>163</v>
      </c>
      <c r="S334" s="42">
        <v>163</v>
      </c>
      <c r="T334" s="410"/>
      <c r="U334" s="42">
        <v>326</v>
      </c>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55">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09">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09">
        <f>IF(NFI_Expiration=1,IF($A334&lt;VLOOKUP(X$5,NFI,5,0),1,0)*Data_NFI_t[[#This Row],[Solar Lantern]],0)</f>
        <v>0</v>
      </c>
      <c r="AT334" s="105" t="str">
        <f ca="1">IFERROR(OFFSET(Camp_List[P_Code],MATCH(Data_NFI_t[[#This Row],[Camp Name]],Camp_List[Camp Name],0)-1,0,1,1),"")</f>
        <v>MMR012CMP023</v>
      </c>
      <c r="AU334" s="412" t="str">
        <f ca="1">IFERROR(OFFSET(Camp_List[Status],MATCH(Data_NFI_t[[#This Row],[Camp Name]],Camp_List[Camp Name],0)-1,0,1,1),"")</f>
        <v>Open</v>
      </c>
      <c r="AV334" s="105"/>
    </row>
    <row r="335" spans="1:48" s="78" customFormat="1" ht="19.5" customHeight="1" x14ac:dyDescent="0.25">
      <c r="A335" s="208">
        <f t="shared" si="7"/>
        <v>65.933333333333337</v>
      </c>
      <c r="B335" s="208">
        <f>YEAR(Data_NFI_t[[#This Row],[Distribution Date]])</f>
        <v>2013</v>
      </c>
      <c r="C335" s="719">
        <v>41456</v>
      </c>
      <c r="D335" s="395" t="s">
        <v>270</v>
      </c>
      <c r="E335" s="394" t="s">
        <v>270</v>
      </c>
      <c r="F335" s="395" t="s">
        <v>7</v>
      </c>
      <c r="G335" s="646" t="s">
        <v>14</v>
      </c>
      <c r="H335" s="646" t="s">
        <v>51</v>
      </c>
      <c r="I335" s="646"/>
      <c r="J335" s="646"/>
      <c r="K335" s="646"/>
      <c r="L335" s="42"/>
      <c r="M335" s="42"/>
      <c r="N335" s="42">
        <v>290</v>
      </c>
      <c r="O335" s="42"/>
      <c r="P335" s="42">
        <v>290</v>
      </c>
      <c r="Q335" s="42">
        <v>145</v>
      </c>
      <c r="R335" s="42">
        <v>145</v>
      </c>
      <c r="S335" s="42">
        <v>145</v>
      </c>
      <c r="T335" s="410"/>
      <c r="U335" s="42">
        <v>290</v>
      </c>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55">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09">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09">
        <f>IF(NFI_Expiration=1,IF($A335&lt;VLOOKUP(X$5,NFI,5,0),1,0)*Data_NFI_t[[#This Row],[Solar Lantern]],0)</f>
        <v>0</v>
      </c>
      <c r="AT335" s="105" t="str">
        <f ca="1">IFERROR(OFFSET(Camp_List[P_Code],MATCH(Data_NFI_t[[#This Row],[Camp Name]],Camp_List[Camp Name],0)-1,0,1,1),"")</f>
        <v>MMR012CMP029</v>
      </c>
      <c r="AU335" s="412" t="str">
        <f ca="1">IFERROR(OFFSET(Camp_List[Status],MATCH(Data_NFI_t[[#This Row],[Camp Name]],Camp_List[Camp Name],0)-1,0,1,1),"")</f>
        <v>Returned</v>
      </c>
      <c r="AV335" s="105"/>
    </row>
    <row r="336" spans="1:48" s="78" customFormat="1" ht="19.5" customHeight="1" x14ac:dyDescent="0.25">
      <c r="A336" s="208">
        <f t="shared" si="7"/>
        <v>65.933333333333337</v>
      </c>
      <c r="B336" s="208">
        <f>YEAR(Data_NFI_t[[#This Row],[Distribution Date]])</f>
        <v>2013</v>
      </c>
      <c r="C336" s="719">
        <v>41456</v>
      </c>
      <c r="D336" s="395" t="s">
        <v>270</v>
      </c>
      <c r="E336" s="394" t="s">
        <v>270</v>
      </c>
      <c r="F336" s="395" t="s">
        <v>7</v>
      </c>
      <c r="G336" s="646" t="s">
        <v>14</v>
      </c>
      <c r="H336" s="646" t="s">
        <v>43</v>
      </c>
      <c r="I336" s="646"/>
      <c r="J336" s="646"/>
      <c r="K336" s="646"/>
      <c r="L336" s="42"/>
      <c r="M336" s="42"/>
      <c r="N336" s="42">
        <v>190</v>
      </c>
      <c r="O336" s="42"/>
      <c r="P336" s="42">
        <v>190</v>
      </c>
      <c r="Q336" s="42">
        <v>95</v>
      </c>
      <c r="R336" s="42">
        <v>95</v>
      </c>
      <c r="S336" s="42">
        <v>95</v>
      </c>
      <c r="T336" s="410"/>
      <c r="U336" s="42">
        <v>190</v>
      </c>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55">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09">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09">
        <f>IF(NFI_Expiration=1,IF($A336&lt;VLOOKUP(X$5,NFI,5,0),1,0)*Data_NFI_t[[#This Row],[Solar Lantern]],0)</f>
        <v>0</v>
      </c>
      <c r="AT336" s="105" t="str">
        <f ca="1">IFERROR(OFFSET(Camp_List[P_Code],MATCH(Data_NFI_t[[#This Row],[Camp Name]],Camp_List[Camp Name],0)-1,0,1,1),"")</f>
        <v>MMR012CMP021</v>
      </c>
      <c r="AU336" s="412" t="str">
        <f ca="1">IFERROR(OFFSET(Camp_List[Status],MATCH(Data_NFI_t[[#This Row],[Camp Name]],Camp_List[Camp Name],0)-1,0,1,1),"")</f>
        <v>Returned</v>
      </c>
      <c r="AV336" s="105"/>
    </row>
    <row r="337" spans="1:48" s="78" customFormat="1" ht="19.5" customHeight="1" x14ac:dyDescent="0.25">
      <c r="A337" s="208">
        <f t="shared" si="7"/>
        <v>65.933333333333337</v>
      </c>
      <c r="B337" s="208">
        <f>YEAR(Data_NFI_t[[#This Row],[Distribution Date]])</f>
        <v>2013</v>
      </c>
      <c r="C337" s="719">
        <v>41456</v>
      </c>
      <c r="D337" s="395" t="s">
        <v>270</v>
      </c>
      <c r="E337" s="394" t="s">
        <v>270</v>
      </c>
      <c r="F337" s="395" t="s">
        <v>7</v>
      </c>
      <c r="G337" s="646" t="s">
        <v>14</v>
      </c>
      <c r="H337" s="646" t="s">
        <v>50</v>
      </c>
      <c r="I337" s="646"/>
      <c r="J337" s="646"/>
      <c r="K337" s="646"/>
      <c r="L337" s="42"/>
      <c r="M337" s="42"/>
      <c r="N337" s="42">
        <v>216</v>
      </c>
      <c r="O337" s="42"/>
      <c r="P337" s="42">
        <v>216</v>
      </c>
      <c r="Q337" s="42">
        <v>108</v>
      </c>
      <c r="R337" s="42">
        <v>108</v>
      </c>
      <c r="S337" s="42">
        <v>108</v>
      </c>
      <c r="T337" s="410"/>
      <c r="U337" s="42">
        <v>216</v>
      </c>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55">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09">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09">
        <f>IF(NFI_Expiration=1,IF($A337&lt;VLOOKUP(X$5,NFI,5,0),1,0)*Data_NFI_t[[#This Row],[Solar Lantern]],0)</f>
        <v>0</v>
      </c>
      <c r="AT337" s="105" t="str">
        <f ca="1">IFERROR(OFFSET(Camp_List[P_Code],MATCH(Data_NFI_t[[#This Row],[Camp Name]],Camp_List[Camp Name],0)-1,0,1,1),"")</f>
        <v>MMR012CMP028</v>
      </c>
      <c r="AU337" s="412" t="str">
        <f ca="1">IFERROR(OFFSET(Camp_List[Status],MATCH(Data_NFI_t[[#This Row],[Camp Name]],Camp_List[Camp Name],0)-1,0,1,1),"")</f>
        <v>Returned</v>
      </c>
      <c r="AV337" s="105"/>
    </row>
    <row r="338" spans="1:48" s="78" customFormat="1" ht="19.5" customHeight="1" x14ac:dyDescent="0.25">
      <c r="A338" s="208">
        <f t="shared" si="7"/>
        <v>65.933333333333337</v>
      </c>
      <c r="B338" s="208">
        <f>YEAR(Data_NFI_t[[#This Row],[Distribution Date]])</f>
        <v>2013</v>
      </c>
      <c r="C338" s="719">
        <v>41456</v>
      </c>
      <c r="D338" s="395" t="s">
        <v>270</v>
      </c>
      <c r="E338" s="394" t="s">
        <v>270</v>
      </c>
      <c r="F338" s="395" t="s">
        <v>7</v>
      </c>
      <c r="G338" s="646" t="s">
        <v>14</v>
      </c>
      <c r="H338" s="646" t="s">
        <v>50</v>
      </c>
      <c r="I338" s="646"/>
      <c r="J338" s="646"/>
      <c r="K338" s="646"/>
      <c r="L338" s="42"/>
      <c r="M338" s="42"/>
      <c r="N338" s="42"/>
      <c r="O338" s="42"/>
      <c r="P338" s="42"/>
      <c r="Q338" s="42"/>
      <c r="R338" s="42"/>
      <c r="S338" s="42"/>
      <c r="T338" s="410"/>
      <c r="U338" s="42"/>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55">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09">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09">
        <f>IF(NFI_Expiration=1,IF($A338&lt;VLOOKUP(X$5,NFI,5,0),1,0)*Data_NFI_t[[#This Row],[Solar Lantern]],0)</f>
        <v>0</v>
      </c>
      <c r="AT338" s="105" t="str">
        <f ca="1">IFERROR(OFFSET(Camp_List[P_Code],MATCH(Data_NFI_t[[#This Row],[Camp Name]],Camp_List[Camp Name],0)-1,0,1,1),"")</f>
        <v>MMR012CMP028</v>
      </c>
      <c r="AU338" s="412" t="str">
        <f ca="1">IFERROR(OFFSET(Camp_List[Status],MATCH(Data_NFI_t[[#This Row],[Camp Name]],Camp_List[Camp Name],0)-1,0,1,1),"")</f>
        <v>Returned</v>
      </c>
      <c r="AV338" s="105"/>
    </row>
    <row r="339" spans="1:48" s="78" customFormat="1" ht="19.5" customHeight="1" x14ac:dyDescent="0.25">
      <c r="A339" s="208">
        <f t="shared" si="7"/>
        <v>66.099999999999994</v>
      </c>
      <c r="B339" s="208">
        <f>YEAR(Data_NFI_t[[#This Row],[Distribution Date]])</f>
        <v>2013</v>
      </c>
      <c r="C339" s="719">
        <v>41451</v>
      </c>
      <c r="D339" s="395" t="s">
        <v>271</v>
      </c>
      <c r="E339" s="394" t="s">
        <v>271</v>
      </c>
      <c r="F339" s="395" t="s">
        <v>7</v>
      </c>
      <c r="G339" s="646" t="s">
        <v>17</v>
      </c>
      <c r="H339" s="646" t="s">
        <v>63</v>
      </c>
      <c r="I339" s="646"/>
      <c r="J339" s="646"/>
      <c r="K339" s="646"/>
      <c r="L339" s="42"/>
      <c r="M339" s="42"/>
      <c r="N339" s="42">
        <v>273</v>
      </c>
      <c r="O339" s="42">
        <v>273</v>
      </c>
      <c r="P339" s="42">
        <v>273</v>
      </c>
      <c r="Q339" s="42"/>
      <c r="R339" s="42"/>
      <c r="S339" s="42">
        <v>273</v>
      </c>
      <c r="T339" s="410"/>
      <c r="U339" s="42">
        <v>273</v>
      </c>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55">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09">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09">
        <f>IF(NFI_Expiration=1,IF($A339&lt;VLOOKUP(X$5,NFI,5,0),1,0)*Data_NFI_t[[#This Row],[Solar Lantern]],0)</f>
        <v>0</v>
      </c>
      <c r="AT339" s="105" t="str">
        <f ca="1">IFERROR(OFFSET(Camp_List[P_Code],MATCH(Data_NFI_t[[#This Row],[Camp Name]],Camp_List[Camp Name],0)-1,0,1,1),"")</f>
        <v>MMR012CMP043</v>
      </c>
      <c r="AU339" s="412" t="str">
        <f ca="1">IFERROR(OFFSET(Camp_List[Status],MATCH(Data_NFI_t[[#This Row],[Camp Name]],Camp_List[Camp Name],0)-1,0,1,1),"")</f>
        <v>Close</v>
      </c>
      <c r="AV339" s="105"/>
    </row>
    <row r="340" spans="1:48" s="78" customFormat="1" ht="19.5" customHeight="1" x14ac:dyDescent="0.25">
      <c r="A340" s="208">
        <f t="shared" si="7"/>
        <v>66.099999999999994</v>
      </c>
      <c r="B340" s="208">
        <f>YEAR(Data_NFI_t[[#This Row],[Distribution Date]])</f>
        <v>2013</v>
      </c>
      <c r="C340" s="719">
        <v>41451</v>
      </c>
      <c r="D340" s="395" t="s">
        <v>271</v>
      </c>
      <c r="E340" s="394" t="s">
        <v>271</v>
      </c>
      <c r="F340" s="395" t="s">
        <v>7</v>
      </c>
      <c r="G340" s="646" t="s">
        <v>17</v>
      </c>
      <c r="H340" s="646" t="s">
        <v>76</v>
      </c>
      <c r="I340" s="646"/>
      <c r="J340" s="646"/>
      <c r="K340" s="646"/>
      <c r="L340" s="42"/>
      <c r="M340" s="42"/>
      <c r="N340" s="42">
        <v>20</v>
      </c>
      <c r="O340" s="42">
        <v>20</v>
      </c>
      <c r="P340" s="42">
        <v>20</v>
      </c>
      <c r="Q340" s="42"/>
      <c r="R340" s="42"/>
      <c r="S340" s="42">
        <v>20</v>
      </c>
      <c r="T340" s="410"/>
      <c r="U340" s="42">
        <v>20</v>
      </c>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55">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09">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09">
        <f>IF(NFI_Expiration=1,IF($A340&lt;VLOOKUP(X$5,NFI,5,0),1,0)*Data_NFI_t[[#This Row],[Solar Lantern]],0)</f>
        <v>0</v>
      </c>
      <c r="AT340" s="105" t="str">
        <f ca="1">IFERROR(OFFSET(Camp_List[P_Code],MATCH(Data_NFI_t[[#This Row],[Camp Name]],Camp_List[Camp Name],0)-1,0,1,1),"")</f>
        <v>MMR012CMP056</v>
      </c>
      <c r="AU340" s="412" t="str">
        <f ca="1">IFERROR(OFFSET(Camp_List[Status],MATCH(Data_NFI_t[[#This Row],[Camp Name]],Camp_List[Camp Name],0)-1,0,1,1),"")</f>
        <v>Relocated</v>
      </c>
      <c r="AV340" s="105"/>
    </row>
    <row r="341" spans="1:48" s="78" customFormat="1" ht="19.5" customHeight="1" x14ac:dyDescent="0.25">
      <c r="A341" s="208">
        <f t="shared" si="7"/>
        <v>66.099999999999994</v>
      </c>
      <c r="B341" s="208">
        <f>YEAR(Data_NFI_t[[#This Row],[Distribution Date]])</f>
        <v>2013</v>
      </c>
      <c r="C341" s="719">
        <v>41451</v>
      </c>
      <c r="D341" s="395" t="s">
        <v>271</v>
      </c>
      <c r="E341" s="394" t="s">
        <v>271</v>
      </c>
      <c r="F341" s="395" t="s">
        <v>7</v>
      </c>
      <c r="G341" s="646" t="s">
        <v>17</v>
      </c>
      <c r="H341" s="646" t="s">
        <v>66</v>
      </c>
      <c r="I341" s="646"/>
      <c r="J341" s="646"/>
      <c r="K341" s="646"/>
      <c r="L341" s="42"/>
      <c r="M341" s="42"/>
      <c r="N341" s="42">
        <v>2797</v>
      </c>
      <c r="O341" s="42">
        <v>2797</v>
      </c>
      <c r="P341" s="42">
        <v>2797</v>
      </c>
      <c r="Q341" s="42"/>
      <c r="R341" s="42"/>
      <c r="S341" s="42">
        <v>2797</v>
      </c>
      <c r="T341" s="410"/>
      <c r="U341" s="42">
        <v>2797</v>
      </c>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55">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09">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09">
        <f>IF(NFI_Expiration=1,IF($A341&lt;VLOOKUP(X$5,NFI,5,0),1,0)*Data_NFI_t[[#This Row],[Solar Lantern]],0)</f>
        <v>0</v>
      </c>
      <c r="AT341" s="105" t="str">
        <f ca="1">IFERROR(OFFSET(Camp_List[P_Code],MATCH(Data_NFI_t[[#This Row],[Camp Name]],Camp_List[Camp Name],0)-1,0,1,1),"")</f>
        <v>MMR012CMP046</v>
      </c>
      <c r="AU341" s="412" t="str">
        <f ca="1">IFERROR(OFFSET(Camp_List[Status],MATCH(Data_NFI_t[[#This Row],[Camp Name]],Camp_List[Camp Name],0)-1,0,1,1),"")</f>
        <v>Open</v>
      </c>
      <c r="AV341" s="105"/>
    </row>
    <row r="342" spans="1:48" s="78" customFormat="1" ht="19.5" customHeight="1" x14ac:dyDescent="0.25">
      <c r="A342" s="208">
        <f t="shared" si="7"/>
        <v>67.033333333333331</v>
      </c>
      <c r="B342" s="208">
        <f>YEAR(Data_NFI_t[[#This Row],[Distribution Date]])</f>
        <v>2013</v>
      </c>
      <c r="C342" s="719">
        <v>41423</v>
      </c>
      <c r="D342" s="395" t="s">
        <v>473</v>
      </c>
      <c r="E342" s="394" t="s">
        <v>473</v>
      </c>
      <c r="F342" s="395" t="s">
        <v>7</v>
      </c>
      <c r="G342" s="646" t="s">
        <v>13</v>
      </c>
      <c r="H342" s="646" t="s">
        <v>38</v>
      </c>
      <c r="I342" s="646">
        <v>773</v>
      </c>
      <c r="J342" s="646"/>
      <c r="K342" s="646"/>
      <c r="L342" s="42"/>
      <c r="M342" s="42"/>
      <c r="N342" s="42"/>
      <c r="O342" s="42"/>
      <c r="P342" s="42"/>
      <c r="Q342" s="42"/>
      <c r="R342" s="42"/>
      <c r="S342" s="42"/>
      <c r="T342" s="410"/>
      <c r="U342" s="42"/>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55">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09">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09">
        <f>IF(NFI_Expiration=1,IF($A342&lt;VLOOKUP(X$5,NFI,5,0),1,0)*Data_NFI_t[[#This Row],[Solar Lantern]],0)</f>
        <v>0</v>
      </c>
      <c r="AT342" s="105" t="str">
        <f ca="1">IFERROR(OFFSET(Camp_List[P_Code],MATCH(Data_NFI_t[[#This Row],[Camp Name]],Camp_List[Camp Name],0)-1,0,1,1),"")</f>
        <v>MMR012CMP016</v>
      </c>
      <c r="AU342" s="412" t="str">
        <f ca="1">IFERROR(OFFSET(Camp_List[Status],MATCH(Data_NFI_t[[#This Row],[Camp Name]],Camp_List[Camp Name],0)-1,0,1,1),"")</f>
        <v>Open</v>
      </c>
      <c r="AV342" s="105"/>
    </row>
    <row r="343" spans="1:48" s="78" customFormat="1" ht="19.5" customHeight="1" x14ac:dyDescent="0.25">
      <c r="A343" s="208">
        <f t="shared" si="7"/>
        <v>67.033333333333331</v>
      </c>
      <c r="B343" s="208">
        <f>YEAR(Data_NFI_t[[#This Row],[Distribution Date]])</f>
        <v>2013</v>
      </c>
      <c r="C343" s="719">
        <v>41423</v>
      </c>
      <c r="D343" s="395" t="s">
        <v>473</v>
      </c>
      <c r="E343" s="394" t="s">
        <v>473</v>
      </c>
      <c r="F343" s="395" t="s">
        <v>7</v>
      </c>
      <c r="G343" s="646" t="s">
        <v>17</v>
      </c>
      <c r="H343" s="646" t="s">
        <v>71</v>
      </c>
      <c r="I343" s="646">
        <v>502</v>
      </c>
      <c r="J343" s="646"/>
      <c r="K343" s="646"/>
      <c r="L343" s="42"/>
      <c r="M343" s="42"/>
      <c r="N343" s="42"/>
      <c r="O343" s="42"/>
      <c r="P343" s="42"/>
      <c r="Q343" s="42"/>
      <c r="R343" s="42"/>
      <c r="S343" s="42"/>
      <c r="T343" s="410"/>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55">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09">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09">
        <f>IF(NFI_Expiration=1,IF($A343&lt;VLOOKUP(X$5,NFI,5,0),1,0)*Data_NFI_t[[#This Row],[Solar Lantern]],0)</f>
        <v>0</v>
      </c>
      <c r="AT343" s="105" t="str">
        <f ca="1">IFERROR(OFFSET(Camp_List[P_Code],MATCH(Data_NFI_t[[#This Row],[Camp Name]],Camp_List[Camp Name],0)-1,0,1,1),"")</f>
        <v>MMR012CMP051</v>
      </c>
      <c r="AU343" s="412" t="str">
        <f ca="1">IFERROR(OFFSET(Camp_List[Status],MATCH(Data_NFI_t[[#This Row],[Camp Name]],Camp_List[Camp Name],0)-1,0,1,1),"")</f>
        <v>Close</v>
      </c>
      <c r="AV343" s="105"/>
    </row>
    <row r="344" spans="1:48" s="78" customFormat="1" ht="19.5" customHeight="1" x14ac:dyDescent="0.25">
      <c r="A344" s="208">
        <f t="shared" si="7"/>
        <v>67.033333333333331</v>
      </c>
      <c r="B344" s="208">
        <f>YEAR(Data_NFI_t[[#This Row],[Distribution Date]])</f>
        <v>2013</v>
      </c>
      <c r="C344" s="719">
        <v>41423</v>
      </c>
      <c r="D344" s="395" t="s">
        <v>473</v>
      </c>
      <c r="E344" s="394" t="s">
        <v>473</v>
      </c>
      <c r="F344" s="395" t="s">
        <v>7</v>
      </c>
      <c r="G344" s="646" t="s">
        <v>17</v>
      </c>
      <c r="H344" s="646" t="s">
        <v>69</v>
      </c>
      <c r="I344" s="646">
        <v>203</v>
      </c>
      <c r="J344" s="646"/>
      <c r="K344" s="646"/>
      <c r="L344" s="42"/>
      <c r="M344" s="42"/>
      <c r="N344" s="42"/>
      <c r="O344" s="42"/>
      <c r="P344" s="42"/>
      <c r="Q344" s="42"/>
      <c r="R344" s="42"/>
      <c r="S344" s="42"/>
      <c r="T344" s="410"/>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55">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09">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09">
        <f>IF(NFI_Expiration=1,IF($A344&lt;VLOOKUP(X$5,NFI,5,0),1,0)*Data_NFI_t[[#This Row],[Solar Lantern]],0)</f>
        <v>0</v>
      </c>
      <c r="AT344" s="105" t="str">
        <f ca="1">IFERROR(OFFSET(Camp_List[P_Code],MATCH(Data_NFI_t[[#This Row],[Camp Name]],Camp_List[Camp Name],0)-1,0,1,1),"")</f>
        <v>MMR012CMP049</v>
      </c>
      <c r="AU344" s="412" t="str">
        <f ca="1">IFERROR(OFFSET(Camp_List[Status],MATCH(Data_NFI_t[[#This Row],[Camp Name]],Camp_List[Camp Name],0)-1,0,1,1),"")</f>
        <v>Close</v>
      </c>
      <c r="AV344" s="105"/>
    </row>
    <row r="345" spans="1:48" s="78" customFormat="1" ht="19.5" customHeight="1" x14ac:dyDescent="0.25">
      <c r="A345" s="208">
        <f t="shared" si="7"/>
        <v>67.033333333333331</v>
      </c>
      <c r="B345" s="208">
        <f>YEAR(Data_NFI_t[[#This Row],[Distribution Date]])</f>
        <v>2013</v>
      </c>
      <c r="C345" s="719">
        <v>41423</v>
      </c>
      <c r="D345" s="395" t="s">
        <v>473</v>
      </c>
      <c r="E345" s="394" t="s">
        <v>473</v>
      </c>
      <c r="F345" s="395" t="s">
        <v>7</v>
      </c>
      <c r="G345" s="646" t="s">
        <v>13</v>
      </c>
      <c r="H345" s="646" t="s">
        <v>39</v>
      </c>
      <c r="I345" s="646">
        <v>173</v>
      </c>
      <c r="J345" s="646"/>
      <c r="K345" s="646"/>
      <c r="L345" s="42"/>
      <c r="M345" s="42"/>
      <c r="N345" s="42"/>
      <c r="O345" s="42"/>
      <c r="P345" s="42"/>
      <c r="Q345" s="42"/>
      <c r="R345" s="42"/>
      <c r="S345" s="42"/>
      <c r="T345" s="410"/>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55">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09">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09">
        <f>IF(NFI_Expiration=1,IF($A345&lt;VLOOKUP(X$5,NFI,5,0),1,0)*Data_NFI_t[[#This Row],[Solar Lantern]],0)</f>
        <v>0</v>
      </c>
      <c r="AT345" s="105" t="str">
        <f ca="1">IFERROR(OFFSET(Camp_List[P_Code],MATCH(Data_NFI_t[[#This Row],[Camp Name]],Camp_List[Camp Name],0)-1,0,1,1),"")</f>
        <v/>
      </c>
      <c r="AU345" s="412" t="str">
        <f ca="1">IFERROR(OFFSET(Camp_List[Status],MATCH(Data_NFI_t[[#This Row],[Camp Name]],Camp_List[Camp Name],0)-1,0,1,1),"")</f>
        <v/>
      </c>
      <c r="AV345" s="105"/>
    </row>
    <row r="346" spans="1:48" s="78" customFormat="1" ht="19.5" customHeight="1" x14ac:dyDescent="0.25">
      <c r="A346" s="208">
        <f t="shared" si="7"/>
        <v>67.033333333333331</v>
      </c>
      <c r="B346" s="208">
        <f>YEAR(Data_NFI_t[[#This Row],[Distribution Date]])</f>
        <v>2013</v>
      </c>
      <c r="C346" s="719">
        <v>41423</v>
      </c>
      <c r="D346" s="395" t="s">
        <v>270</v>
      </c>
      <c r="E346" s="394"/>
      <c r="F346" s="395" t="s">
        <v>7</v>
      </c>
      <c r="G346" s="646" t="s">
        <v>932</v>
      </c>
      <c r="H346" s="646" t="s">
        <v>34</v>
      </c>
      <c r="I346" s="646">
        <v>0</v>
      </c>
      <c r="J346" s="646"/>
      <c r="K346" s="646"/>
      <c r="L346" s="42"/>
      <c r="M346" s="42"/>
      <c r="N346" s="42">
        <v>82</v>
      </c>
      <c r="O346" s="42"/>
      <c r="P346" s="42">
        <v>82</v>
      </c>
      <c r="Q346" s="42">
        <v>41</v>
      </c>
      <c r="R346" s="42">
        <v>41</v>
      </c>
      <c r="S346" s="42">
        <v>10</v>
      </c>
      <c r="T346" s="410"/>
      <c r="U346" s="42">
        <v>20</v>
      </c>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55">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09">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09">
        <f>IF(NFI_Expiration=1,IF($A346&lt;VLOOKUP(X$5,NFI,5,0),1,0)*Data_NFI_t[[#This Row],[Solar Lantern]],0)</f>
        <v>0</v>
      </c>
      <c r="AT346" s="105" t="str">
        <f ca="1">IFERROR(OFFSET(Camp_List[P_Code],MATCH(Data_NFI_t[[#This Row],[Camp Name]],Camp_List[Camp Name],0)-1,0,1,1),"")</f>
        <v>MMR012CMP012</v>
      </c>
      <c r="AU346" s="412" t="str">
        <f ca="1">IFERROR(OFFSET(Camp_List[Status],MATCH(Data_NFI_t[[#This Row],[Camp Name]],Camp_List[Camp Name],0)-1,0,1,1),"")</f>
        <v>Relocated</v>
      </c>
      <c r="AV346" s="105"/>
    </row>
    <row r="347" spans="1:48" s="78" customFormat="1" ht="19.5" customHeight="1" x14ac:dyDescent="0.25">
      <c r="A347" s="208">
        <f t="shared" si="7"/>
        <v>67.033333333333331</v>
      </c>
      <c r="B347" s="208">
        <f>YEAR(Data_NFI_t[[#This Row],[Distribution Date]])</f>
        <v>2013</v>
      </c>
      <c r="C347" s="719">
        <v>41423</v>
      </c>
      <c r="D347" s="395" t="s">
        <v>270</v>
      </c>
      <c r="E347" s="394" t="s">
        <v>277</v>
      </c>
      <c r="F347" s="395" t="s">
        <v>7</v>
      </c>
      <c r="G347" s="646" t="s">
        <v>17</v>
      </c>
      <c r="H347" s="646"/>
      <c r="I347" s="646"/>
      <c r="J347" s="646"/>
      <c r="K347" s="646"/>
      <c r="L347" s="42"/>
      <c r="M347" s="42"/>
      <c r="N347" s="42"/>
      <c r="O347" s="42">
        <v>1520</v>
      </c>
      <c r="P347" s="42"/>
      <c r="Q347" s="42"/>
      <c r="R347" s="42"/>
      <c r="S347" s="42"/>
      <c r="T347" s="410"/>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55">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09">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09">
        <f>IF(NFI_Expiration=1,IF($A347&lt;VLOOKUP(X$5,NFI,5,0),1,0)*Data_NFI_t[[#This Row],[Solar Lantern]],0)</f>
        <v>0</v>
      </c>
      <c r="AT347" s="105" t="str">
        <f ca="1">IFERROR(OFFSET(Camp_List[P_Code],MATCH(Data_NFI_t[[#This Row],[Camp Name]],Camp_List[Camp Name],0)-1,0,1,1),"")</f>
        <v/>
      </c>
      <c r="AU347" s="412" t="str">
        <f ca="1">IFERROR(OFFSET(Camp_List[Status],MATCH(Data_NFI_t[[#This Row],[Camp Name]],Camp_List[Camp Name],0)-1,0,1,1),"")</f>
        <v/>
      </c>
      <c r="AV347" s="105"/>
    </row>
    <row r="348" spans="1:48" s="78" customFormat="1" ht="19.5" customHeight="1" x14ac:dyDescent="0.25">
      <c r="A348" s="208">
        <f t="shared" si="7"/>
        <v>67.066666666666663</v>
      </c>
      <c r="B348" s="208">
        <f>YEAR(Data_NFI_t[[#This Row],[Distribution Date]])</f>
        <v>2013</v>
      </c>
      <c r="C348" s="719">
        <v>41422</v>
      </c>
      <c r="D348" s="395" t="s">
        <v>270</v>
      </c>
      <c r="E348" s="394"/>
      <c r="F348" s="395" t="s">
        <v>7</v>
      </c>
      <c r="G348" s="646" t="s">
        <v>17</v>
      </c>
      <c r="H348" s="646" t="s">
        <v>71</v>
      </c>
      <c r="I348" s="646"/>
      <c r="J348" s="646"/>
      <c r="K348" s="646"/>
      <c r="L348" s="42"/>
      <c r="M348" s="42"/>
      <c r="N348" s="42"/>
      <c r="O348" s="42">
        <v>1315</v>
      </c>
      <c r="P348" s="42"/>
      <c r="Q348" s="42"/>
      <c r="R348" s="42"/>
      <c r="S348" s="42"/>
      <c r="T348" s="410"/>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55">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09">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09">
        <f>IF(NFI_Expiration=1,IF($A348&lt;VLOOKUP(X$5,NFI,5,0),1,0)*Data_NFI_t[[#This Row],[Solar Lantern]],0)</f>
        <v>0</v>
      </c>
      <c r="AT348" s="105" t="str">
        <f ca="1">IFERROR(OFFSET(Camp_List[P_Code],MATCH(Data_NFI_t[[#This Row],[Camp Name]],Camp_List[Camp Name],0)-1,0,1,1),"")</f>
        <v>MMR012CMP051</v>
      </c>
      <c r="AU348" s="412" t="str">
        <f ca="1">IFERROR(OFFSET(Camp_List[Status],MATCH(Data_NFI_t[[#This Row],[Camp Name]],Camp_List[Camp Name],0)-1,0,1,1),"")</f>
        <v>Close</v>
      </c>
      <c r="AV348" s="105"/>
    </row>
    <row r="349" spans="1:48" s="78" customFormat="1" ht="19.5" customHeight="1" x14ac:dyDescent="0.25">
      <c r="A349" s="208">
        <f t="shared" si="7"/>
        <v>67.066666666666663</v>
      </c>
      <c r="B349" s="208">
        <f>YEAR(Data_NFI_t[[#This Row],[Distribution Date]])</f>
        <v>2013</v>
      </c>
      <c r="C349" s="719">
        <v>41422</v>
      </c>
      <c r="D349" s="395" t="s">
        <v>270</v>
      </c>
      <c r="E349" s="394" t="s">
        <v>270</v>
      </c>
      <c r="F349" s="395" t="s">
        <v>7</v>
      </c>
      <c r="G349" s="646" t="s">
        <v>17</v>
      </c>
      <c r="H349" s="646" t="s">
        <v>74</v>
      </c>
      <c r="I349" s="646"/>
      <c r="J349" s="646"/>
      <c r="K349" s="646"/>
      <c r="L349" s="42"/>
      <c r="M349" s="42"/>
      <c r="N349" s="42"/>
      <c r="O349" s="42">
        <v>358</v>
      </c>
      <c r="P349" s="42"/>
      <c r="Q349" s="42"/>
      <c r="R349" s="42"/>
      <c r="S349" s="42"/>
      <c r="T349" s="410"/>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55">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09">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09">
        <f>IF(NFI_Expiration=1,IF($A349&lt;VLOOKUP(X$5,NFI,5,0),1,0)*Data_NFI_t[[#This Row],[Solar Lantern]],0)</f>
        <v>0</v>
      </c>
      <c r="AT349" s="105" t="str">
        <f ca="1">IFERROR(OFFSET(Camp_List[P_Code],MATCH(Data_NFI_t[[#This Row],[Camp Name]],Camp_List[Camp Name],0)-1,0,1,1),"")</f>
        <v>MMR012CMP093</v>
      </c>
      <c r="AU349" s="412" t="str">
        <f ca="1">IFERROR(OFFSET(Camp_List[Status],MATCH(Data_NFI_t[[#This Row],[Camp Name]],Camp_List[Camp Name],0)-1,0,1,1),"")</f>
        <v>Relocated</v>
      </c>
      <c r="AV349" s="105"/>
    </row>
    <row r="350" spans="1:48" s="78" customFormat="1" ht="19.5" customHeight="1" x14ac:dyDescent="0.25">
      <c r="A350" s="208">
        <f t="shared" si="7"/>
        <v>67.099999999999994</v>
      </c>
      <c r="B350" s="208">
        <f>YEAR(Data_NFI_t[[#This Row],[Distribution Date]])</f>
        <v>2013</v>
      </c>
      <c r="C350" s="719">
        <v>41421</v>
      </c>
      <c r="D350" s="395" t="s">
        <v>270</v>
      </c>
      <c r="E350" s="394" t="s">
        <v>270</v>
      </c>
      <c r="F350" s="395" t="s">
        <v>7</v>
      </c>
      <c r="G350" s="646" t="s">
        <v>17</v>
      </c>
      <c r="H350" s="646" t="s">
        <v>69</v>
      </c>
      <c r="I350" s="646"/>
      <c r="J350" s="646"/>
      <c r="K350" s="646"/>
      <c r="L350" s="42"/>
      <c r="M350" s="42"/>
      <c r="N350" s="42"/>
      <c r="O350" s="42">
        <v>246</v>
      </c>
      <c r="P350" s="42"/>
      <c r="Q350" s="42"/>
      <c r="R350" s="42"/>
      <c r="S350" s="42"/>
      <c r="T350" s="410"/>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55">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09">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09">
        <f>IF(NFI_Expiration=1,IF($A350&lt;VLOOKUP(X$5,NFI,5,0),1,0)*Data_NFI_t[[#This Row],[Solar Lantern]],0)</f>
        <v>0</v>
      </c>
      <c r="AT350" s="105" t="str">
        <f ca="1">IFERROR(OFFSET(Camp_List[P_Code],MATCH(Data_NFI_t[[#This Row],[Camp Name]],Camp_List[Camp Name],0)-1,0,1,1),"")</f>
        <v>MMR012CMP049</v>
      </c>
      <c r="AU350" s="412" t="str">
        <f ca="1">IFERROR(OFFSET(Camp_List[Status],MATCH(Data_NFI_t[[#This Row],[Camp Name]],Camp_List[Camp Name],0)-1,0,1,1),"")</f>
        <v>Close</v>
      </c>
      <c r="AV350" s="105"/>
    </row>
    <row r="351" spans="1:48" s="78" customFormat="1" ht="19.5" customHeight="1" x14ac:dyDescent="0.25">
      <c r="A351" s="208">
        <f t="shared" ref="A351:A414" si="8">IF(ISBLANK(C351),"",(Report_Date-C351)/30)</f>
        <v>67.099999999999994</v>
      </c>
      <c r="B351" s="208">
        <f>YEAR(Data_NFI_t[[#This Row],[Distribution Date]])</f>
        <v>2013</v>
      </c>
      <c r="C351" s="719">
        <v>41421</v>
      </c>
      <c r="D351" s="395" t="s">
        <v>270</v>
      </c>
      <c r="E351" s="394"/>
      <c r="F351" s="395" t="s">
        <v>7</v>
      </c>
      <c r="G351" s="646" t="s">
        <v>17</v>
      </c>
      <c r="H351" s="646" t="s">
        <v>62</v>
      </c>
      <c r="I351" s="646"/>
      <c r="J351" s="646"/>
      <c r="K351" s="646"/>
      <c r="L351" s="42"/>
      <c r="M351" s="42"/>
      <c r="N351" s="42"/>
      <c r="O351" s="42">
        <v>86</v>
      </c>
      <c r="P351" s="42"/>
      <c r="Q351" s="42"/>
      <c r="R351" s="42"/>
      <c r="S351" s="42"/>
      <c r="T351" s="410"/>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55">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09">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09">
        <f>IF(NFI_Expiration=1,IF($A351&lt;VLOOKUP(X$5,NFI,5,0),1,0)*Data_NFI_t[[#This Row],[Solar Lantern]],0)</f>
        <v>0</v>
      </c>
      <c r="AT351" s="105" t="str">
        <f ca="1">IFERROR(OFFSET(Camp_List[P_Code],MATCH(Data_NFI_t[[#This Row],[Camp Name]],Camp_List[Camp Name],0)-1,0,1,1),"")</f>
        <v/>
      </c>
      <c r="AU351" s="412" t="str">
        <f ca="1">IFERROR(OFFSET(Camp_List[Status],MATCH(Data_NFI_t[[#This Row],[Camp Name]],Camp_List[Camp Name],0)-1,0,1,1),"")</f>
        <v/>
      </c>
      <c r="AV351" s="105"/>
    </row>
    <row r="352" spans="1:48" s="78" customFormat="1" ht="19.5" customHeight="1" x14ac:dyDescent="0.25">
      <c r="A352" s="208">
        <f t="shared" si="8"/>
        <v>67.233333333333334</v>
      </c>
      <c r="B352" s="208">
        <f>YEAR(Data_NFI_t[[#This Row],[Distribution Date]])</f>
        <v>2013</v>
      </c>
      <c r="C352" s="719">
        <v>41417</v>
      </c>
      <c r="D352" s="395" t="s">
        <v>473</v>
      </c>
      <c r="E352" s="394" t="s">
        <v>473</v>
      </c>
      <c r="F352" s="395" t="s">
        <v>7</v>
      </c>
      <c r="G352" s="646" t="s">
        <v>17</v>
      </c>
      <c r="H352" s="646" t="s">
        <v>68</v>
      </c>
      <c r="I352" s="646">
        <v>4795</v>
      </c>
      <c r="J352" s="646"/>
      <c r="K352" s="646"/>
      <c r="L352" s="42"/>
      <c r="M352" s="42"/>
      <c r="N352" s="42"/>
      <c r="O352" s="42"/>
      <c r="P352" s="42"/>
      <c r="Q352" s="42"/>
      <c r="R352" s="42"/>
      <c r="S352" s="42"/>
      <c r="T352" s="410"/>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55">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09">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09">
        <f>IF(NFI_Expiration=1,IF($A352&lt;VLOOKUP(X$5,NFI,5,0),1,0)*Data_NFI_t[[#This Row],[Solar Lantern]],0)</f>
        <v>0</v>
      </c>
      <c r="AT352" s="105" t="str">
        <f ca="1">IFERROR(OFFSET(Camp_List[P_Code],MATCH(Data_NFI_t[[#This Row],[Camp Name]],Camp_List[Camp Name],0)-1,0,1,1),"")</f>
        <v>MMR012CMP048</v>
      </c>
      <c r="AU352" s="412" t="str">
        <f ca="1">IFERROR(OFFSET(Camp_List[Status],MATCH(Data_NFI_t[[#This Row],[Camp Name]],Camp_List[Camp Name],0)-1,0,1,1),"")</f>
        <v>Open</v>
      </c>
      <c r="AV352" s="105"/>
    </row>
    <row r="353" spans="1:48" s="78" customFormat="1" ht="19.5" customHeight="1" x14ac:dyDescent="0.25">
      <c r="A353" s="208">
        <f t="shared" si="8"/>
        <v>67.266666666666666</v>
      </c>
      <c r="B353" s="208">
        <f>YEAR(Data_NFI_t[[#This Row],[Distribution Date]])</f>
        <v>2013</v>
      </c>
      <c r="C353" s="719">
        <v>41416</v>
      </c>
      <c r="D353" s="395" t="s">
        <v>473</v>
      </c>
      <c r="E353" s="394" t="s">
        <v>473</v>
      </c>
      <c r="F353" s="395" t="s">
        <v>7</v>
      </c>
      <c r="G353" s="646" t="s">
        <v>13</v>
      </c>
      <c r="H353" s="646" t="s">
        <v>40</v>
      </c>
      <c r="I353" s="646">
        <v>903</v>
      </c>
      <c r="J353" s="646"/>
      <c r="K353" s="646"/>
      <c r="L353" s="42"/>
      <c r="M353" s="42"/>
      <c r="N353" s="42"/>
      <c r="O353" s="42"/>
      <c r="P353" s="42"/>
      <c r="Q353" s="42"/>
      <c r="R353" s="42"/>
      <c r="S353" s="42"/>
      <c r="T353" s="410"/>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55">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09">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09">
        <f>IF(NFI_Expiration=1,IF($A353&lt;VLOOKUP(X$5,NFI,5,0),1,0)*Data_NFI_t[[#This Row],[Solar Lantern]],0)</f>
        <v>0</v>
      </c>
      <c r="AT353" s="105" t="str">
        <f ca="1">IFERROR(OFFSET(Camp_List[P_Code],MATCH(Data_NFI_t[[#This Row],[Camp Name]],Camp_List[Camp Name],0)-1,0,1,1),"")</f>
        <v>MMR012CMP018</v>
      </c>
      <c r="AU353" s="412" t="str">
        <f ca="1">IFERROR(OFFSET(Camp_List[Status],MATCH(Data_NFI_t[[#This Row],[Camp Name]],Camp_List[Camp Name],0)-1,0,1,1),"")</f>
        <v>Open</v>
      </c>
      <c r="AV353" s="105"/>
    </row>
    <row r="354" spans="1:48" s="78" customFormat="1" ht="19.5" customHeight="1" x14ac:dyDescent="0.25">
      <c r="A354" s="208">
        <f t="shared" si="8"/>
        <v>68</v>
      </c>
      <c r="B354" s="208">
        <f>YEAR(Data_NFI_t[[#This Row],[Distribution Date]])</f>
        <v>2013</v>
      </c>
      <c r="C354" s="719">
        <v>41394</v>
      </c>
      <c r="D354" s="395" t="s">
        <v>270</v>
      </c>
      <c r="E354" s="394"/>
      <c r="F354" s="395" t="s">
        <v>7</v>
      </c>
      <c r="G354" s="646" t="s">
        <v>13</v>
      </c>
      <c r="H354" s="646"/>
      <c r="I354" s="646"/>
      <c r="J354" s="646"/>
      <c r="K354" s="646"/>
      <c r="L354" s="42"/>
      <c r="M354" s="42"/>
      <c r="N354" s="42"/>
      <c r="O354" s="42"/>
      <c r="P354" s="42">
        <v>1</v>
      </c>
      <c r="Q354" s="42"/>
      <c r="R354" s="42"/>
      <c r="S354" s="42"/>
      <c r="T354" s="410"/>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55">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09">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09">
        <f>IF(NFI_Expiration=1,IF($A354&lt;VLOOKUP(X$5,NFI,5,0),1,0)*Data_NFI_t[[#This Row],[Solar Lantern]],0)</f>
        <v>0</v>
      </c>
      <c r="AT354" s="105" t="str">
        <f ca="1">IFERROR(OFFSET(Camp_List[P_Code],MATCH(Data_NFI_t[[#This Row],[Camp Name]],Camp_List[Camp Name],0)-1,0,1,1),"")</f>
        <v/>
      </c>
      <c r="AU354" s="412" t="str">
        <f ca="1">IFERROR(OFFSET(Camp_List[Status],MATCH(Data_NFI_t[[#This Row],[Camp Name]],Camp_List[Camp Name],0)-1,0,1,1),"")</f>
        <v/>
      </c>
      <c r="AV354" s="105"/>
    </row>
    <row r="355" spans="1:48" s="78" customFormat="1" ht="19.5" customHeight="1" x14ac:dyDescent="0.25">
      <c r="A355" s="208">
        <f t="shared" si="8"/>
        <v>68.033333333333331</v>
      </c>
      <c r="B355" s="208">
        <f>YEAR(Data_NFI_t[[#This Row],[Distribution Date]])</f>
        <v>2013</v>
      </c>
      <c r="C355" s="719">
        <v>41393</v>
      </c>
      <c r="D355" s="395" t="s">
        <v>270</v>
      </c>
      <c r="E355" s="394"/>
      <c r="F355" s="395" t="s">
        <v>7</v>
      </c>
      <c r="G355" s="646" t="s">
        <v>15</v>
      </c>
      <c r="H355" s="646" t="s">
        <v>53</v>
      </c>
      <c r="I355" s="646">
        <v>0</v>
      </c>
      <c r="J355" s="646"/>
      <c r="K355" s="646"/>
      <c r="L355" s="42">
        <v>64</v>
      </c>
      <c r="M355" s="42"/>
      <c r="N355" s="42">
        <v>128</v>
      </c>
      <c r="O355" s="42">
        <v>64</v>
      </c>
      <c r="P355" s="42">
        <v>128</v>
      </c>
      <c r="Q355" s="42">
        <v>64</v>
      </c>
      <c r="R355" s="42">
        <v>64</v>
      </c>
      <c r="S355" s="42">
        <v>64</v>
      </c>
      <c r="T355" s="410"/>
      <c r="U355" s="42">
        <v>128</v>
      </c>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55">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09">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09">
        <f>IF(NFI_Expiration=1,IF($A355&lt;VLOOKUP(X$5,NFI,5,0),1,0)*Data_NFI_t[[#This Row],[Solar Lantern]],0)</f>
        <v>0</v>
      </c>
      <c r="AT355" s="105" t="str">
        <f ca="1">IFERROR(OFFSET(Camp_List[P_Code],MATCH(Data_NFI_t[[#This Row],[Camp Name]],Camp_List[Camp Name],0)-1,0,1,1),"")</f>
        <v>MMR012CMP031</v>
      </c>
      <c r="AU355" s="412" t="str">
        <f ca="1">IFERROR(OFFSET(Camp_List[Status],MATCH(Data_NFI_t[[#This Row],[Camp Name]],Camp_List[Camp Name],0)-1,0,1,1),"")</f>
        <v>Returned</v>
      </c>
      <c r="AV355" s="105"/>
    </row>
    <row r="356" spans="1:48" s="78" customFormat="1" ht="19.5" customHeight="1" x14ac:dyDescent="0.25">
      <c r="A356" s="208">
        <f t="shared" si="8"/>
        <v>68.033333333333331</v>
      </c>
      <c r="B356" s="208">
        <f>YEAR(Data_NFI_t[[#This Row],[Distribution Date]])</f>
        <v>2013</v>
      </c>
      <c r="C356" s="719">
        <v>41393</v>
      </c>
      <c r="D356" s="395" t="s">
        <v>270</v>
      </c>
      <c r="E356" s="394"/>
      <c r="F356" s="395" t="s">
        <v>7</v>
      </c>
      <c r="G356" s="646" t="s">
        <v>15</v>
      </c>
      <c r="H356" s="646" t="s">
        <v>53</v>
      </c>
      <c r="I356" s="646">
        <v>0</v>
      </c>
      <c r="J356" s="646"/>
      <c r="K356" s="646"/>
      <c r="L356" s="42"/>
      <c r="M356" s="42">
        <v>128</v>
      </c>
      <c r="N356" s="42">
        <v>128</v>
      </c>
      <c r="O356" s="42">
        <v>64</v>
      </c>
      <c r="P356" s="42">
        <v>0</v>
      </c>
      <c r="Q356" s="42"/>
      <c r="R356" s="42"/>
      <c r="S356" s="42"/>
      <c r="T356" s="410"/>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55">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09">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09">
        <f>IF(NFI_Expiration=1,IF($A356&lt;VLOOKUP(X$5,NFI,5,0),1,0)*Data_NFI_t[[#This Row],[Solar Lantern]],0)</f>
        <v>0</v>
      </c>
      <c r="AT356" s="105" t="str">
        <f ca="1">IFERROR(OFFSET(Camp_List[P_Code],MATCH(Data_NFI_t[[#This Row],[Camp Name]],Camp_List[Camp Name],0)-1,0,1,1),"")</f>
        <v>MMR012CMP031</v>
      </c>
      <c r="AU356" s="412" t="str">
        <f ca="1">IFERROR(OFFSET(Camp_List[Status],MATCH(Data_NFI_t[[#This Row],[Camp Name]],Camp_List[Camp Name],0)-1,0,1,1),"")</f>
        <v>Returned</v>
      </c>
      <c r="AV356" s="105"/>
    </row>
    <row r="357" spans="1:48" s="78" customFormat="1" ht="19.5" customHeight="1" x14ac:dyDescent="0.25">
      <c r="A357" s="208">
        <f t="shared" si="8"/>
        <v>68.13333333333334</v>
      </c>
      <c r="B357" s="208">
        <f>YEAR(Data_NFI_t[[#This Row],[Distribution Date]])</f>
        <v>2013</v>
      </c>
      <c r="C357" s="719">
        <v>41390</v>
      </c>
      <c r="D357" s="395" t="s">
        <v>473</v>
      </c>
      <c r="E357" s="394" t="s">
        <v>473</v>
      </c>
      <c r="F357" s="395" t="s">
        <v>7</v>
      </c>
      <c r="G357" s="646" t="s">
        <v>13</v>
      </c>
      <c r="H357" s="646" t="s">
        <v>40</v>
      </c>
      <c r="I357" s="646">
        <v>1028</v>
      </c>
      <c r="J357" s="646"/>
      <c r="K357" s="646"/>
      <c r="L357" s="42"/>
      <c r="M357" s="42"/>
      <c r="N357" s="42"/>
      <c r="O357" s="42"/>
      <c r="P357" s="42"/>
      <c r="Q357" s="42"/>
      <c r="R357" s="42"/>
      <c r="S357" s="42"/>
      <c r="T357" s="410"/>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55">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09">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09">
        <f>IF(NFI_Expiration=1,IF($A357&lt;VLOOKUP(X$5,NFI,5,0),1,0)*Data_NFI_t[[#This Row],[Solar Lantern]],0)</f>
        <v>0</v>
      </c>
      <c r="AT357" s="105" t="str">
        <f ca="1">IFERROR(OFFSET(Camp_List[P_Code],MATCH(Data_NFI_t[[#This Row],[Camp Name]],Camp_List[Camp Name],0)-1,0,1,1),"")</f>
        <v>MMR012CMP018</v>
      </c>
      <c r="AU357" s="412" t="str">
        <f ca="1">IFERROR(OFFSET(Camp_List[Status],MATCH(Data_NFI_t[[#This Row],[Camp Name]],Camp_List[Camp Name],0)-1,0,1,1),"")</f>
        <v>Open</v>
      </c>
      <c r="AV357" s="105"/>
    </row>
    <row r="358" spans="1:48" s="78" customFormat="1" ht="19.5" customHeight="1" x14ac:dyDescent="0.25">
      <c r="A358" s="208">
        <f t="shared" si="8"/>
        <v>68.2</v>
      </c>
      <c r="B358" s="208">
        <f>YEAR(Data_NFI_t[[#This Row],[Distribution Date]])</f>
        <v>2013</v>
      </c>
      <c r="C358" s="719">
        <v>41388</v>
      </c>
      <c r="D358" s="395" t="s">
        <v>473</v>
      </c>
      <c r="E358" s="394" t="s">
        <v>473</v>
      </c>
      <c r="F358" s="395" t="s">
        <v>7</v>
      </c>
      <c r="G358" s="646" t="s">
        <v>13</v>
      </c>
      <c r="H358" s="646" t="s">
        <v>39</v>
      </c>
      <c r="I358" s="646">
        <v>1338</v>
      </c>
      <c r="J358" s="646"/>
      <c r="K358" s="646"/>
      <c r="L358" s="42"/>
      <c r="M358" s="42"/>
      <c r="N358" s="42"/>
      <c r="O358" s="42"/>
      <c r="P358" s="42"/>
      <c r="Q358" s="42"/>
      <c r="R358" s="42"/>
      <c r="S358" s="42"/>
      <c r="T358" s="410"/>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55">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09">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09">
        <f>IF(NFI_Expiration=1,IF($A358&lt;VLOOKUP(X$5,NFI,5,0),1,0)*Data_NFI_t[[#This Row],[Solar Lantern]],0)</f>
        <v>0</v>
      </c>
      <c r="AT358" s="105" t="str">
        <f ca="1">IFERROR(OFFSET(Camp_List[P_Code],MATCH(Data_NFI_t[[#This Row],[Camp Name]],Camp_List[Camp Name],0)-1,0,1,1),"")</f>
        <v/>
      </c>
      <c r="AU358" s="412" t="str">
        <f ca="1">IFERROR(OFFSET(Camp_List[Status],MATCH(Data_NFI_t[[#This Row],[Camp Name]],Camp_List[Camp Name],0)-1,0,1,1),"")</f>
        <v/>
      </c>
      <c r="AV358" s="105"/>
    </row>
    <row r="359" spans="1:48" s="78" customFormat="1" ht="19.5" customHeight="1" x14ac:dyDescent="0.25">
      <c r="A359" s="208">
        <f t="shared" si="8"/>
        <v>68.599999999999994</v>
      </c>
      <c r="B359" s="208">
        <f>YEAR(Data_NFI_t[[#This Row],[Distribution Date]])</f>
        <v>2013</v>
      </c>
      <c r="C359" s="719">
        <v>41376</v>
      </c>
      <c r="D359" s="395" t="s">
        <v>270</v>
      </c>
      <c r="E359" s="394"/>
      <c r="F359" s="395" t="s">
        <v>7</v>
      </c>
      <c r="G359" s="646" t="s">
        <v>17</v>
      </c>
      <c r="H359" s="646" t="s">
        <v>71</v>
      </c>
      <c r="I359" s="646"/>
      <c r="J359" s="646"/>
      <c r="K359" s="646"/>
      <c r="L359" s="42"/>
      <c r="M359" s="42"/>
      <c r="N359" s="42"/>
      <c r="O359" s="42"/>
      <c r="P359" s="42">
        <v>54</v>
      </c>
      <c r="Q359" s="42"/>
      <c r="R359" s="42"/>
      <c r="S359" s="42"/>
      <c r="T359" s="410"/>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55">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09">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09">
        <f>IF(NFI_Expiration=1,IF($A359&lt;VLOOKUP(X$5,NFI,5,0),1,0)*Data_NFI_t[[#This Row],[Solar Lantern]],0)</f>
        <v>0</v>
      </c>
      <c r="AT359" s="105" t="str">
        <f ca="1">IFERROR(OFFSET(Camp_List[P_Code],MATCH(Data_NFI_t[[#This Row],[Camp Name]],Camp_List[Camp Name],0)-1,0,1,1),"")</f>
        <v>MMR012CMP051</v>
      </c>
      <c r="AU359" s="412" t="str">
        <f ca="1">IFERROR(OFFSET(Camp_List[Status],MATCH(Data_NFI_t[[#This Row],[Camp Name]],Camp_List[Camp Name],0)-1,0,1,1),"")</f>
        <v>Close</v>
      </c>
      <c r="AV359" s="105"/>
    </row>
    <row r="360" spans="1:48" s="78" customFormat="1" ht="19.5" customHeight="1" x14ac:dyDescent="0.25">
      <c r="A360" s="208">
        <f t="shared" si="8"/>
        <v>68.666666666666671</v>
      </c>
      <c r="B360" s="208">
        <f>YEAR(Data_NFI_t[[#This Row],[Distribution Date]])</f>
        <v>2013</v>
      </c>
      <c r="C360" s="719">
        <v>41374</v>
      </c>
      <c r="D360" s="395" t="s">
        <v>270</v>
      </c>
      <c r="E360" s="394"/>
      <c r="F360" s="395" t="s">
        <v>7</v>
      </c>
      <c r="G360" s="646" t="s">
        <v>17</v>
      </c>
      <c r="H360" s="646" t="s">
        <v>71</v>
      </c>
      <c r="I360" s="646"/>
      <c r="J360" s="646"/>
      <c r="K360" s="646"/>
      <c r="L360" s="42"/>
      <c r="M360" s="42"/>
      <c r="N360" s="42"/>
      <c r="O360" s="42"/>
      <c r="P360" s="42">
        <v>90</v>
      </c>
      <c r="Q360" s="42"/>
      <c r="R360" s="42"/>
      <c r="S360" s="42"/>
      <c r="T360" s="410"/>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55">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09">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09">
        <f>IF(NFI_Expiration=1,IF($A360&lt;VLOOKUP(X$5,NFI,5,0),1,0)*Data_NFI_t[[#This Row],[Solar Lantern]],0)</f>
        <v>0</v>
      </c>
      <c r="AT360" s="105" t="str">
        <f ca="1">IFERROR(OFFSET(Camp_List[P_Code],MATCH(Data_NFI_t[[#This Row],[Camp Name]],Camp_List[Camp Name],0)-1,0,1,1),"")</f>
        <v>MMR012CMP051</v>
      </c>
      <c r="AU360" s="412" t="str">
        <f ca="1">IFERROR(OFFSET(Camp_List[Status],MATCH(Data_NFI_t[[#This Row],[Camp Name]],Camp_List[Camp Name],0)-1,0,1,1),"")</f>
        <v>Close</v>
      </c>
      <c r="AV360" s="105"/>
    </row>
    <row r="361" spans="1:48" s="78" customFormat="1" ht="19.5" customHeight="1" x14ac:dyDescent="0.25">
      <c r="A361" s="208">
        <f t="shared" si="8"/>
        <v>68.7</v>
      </c>
      <c r="B361" s="208">
        <f>YEAR(Data_NFI_t[[#This Row],[Distribution Date]])</f>
        <v>2013</v>
      </c>
      <c r="C361" s="719">
        <v>41373</v>
      </c>
      <c r="D361" s="395" t="s">
        <v>270</v>
      </c>
      <c r="E361" s="394"/>
      <c r="F361" s="395" t="s">
        <v>7</v>
      </c>
      <c r="G361" s="646" t="s">
        <v>17</v>
      </c>
      <c r="H361" s="646" t="s">
        <v>71</v>
      </c>
      <c r="I361" s="646"/>
      <c r="J361" s="646"/>
      <c r="K361" s="646"/>
      <c r="L361" s="42"/>
      <c r="M361" s="42"/>
      <c r="N361" s="42"/>
      <c r="O361" s="42"/>
      <c r="P361" s="42">
        <v>90</v>
      </c>
      <c r="Q361" s="42"/>
      <c r="R361" s="42"/>
      <c r="S361" s="42"/>
      <c r="T361" s="410"/>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55">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09">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09">
        <f>IF(NFI_Expiration=1,IF($A361&lt;VLOOKUP(X$5,NFI,5,0),1,0)*Data_NFI_t[[#This Row],[Solar Lantern]],0)</f>
        <v>0</v>
      </c>
      <c r="AT361" s="105" t="str">
        <f ca="1">IFERROR(OFFSET(Camp_List[P_Code],MATCH(Data_NFI_t[[#This Row],[Camp Name]],Camp_List[Camp Name],0)-1,0,1,1),"")</f>
        <v>MMR012CMP051</v>
      </c>
      <c r="AU361" s="412" t="str">
        <f ca="1">IFERROR(OFFSET(Camp_List[Status],MATCH(Data_NFI_t[[#This Row],[Camp Name]],Camp_List[Camp Name],0)-1,0,1,1),"")</f>
        <v>Close</v>
      </c>
      <c r="AV361" s="105"/>
    </row>
    <row r="362" spans="1:48" s="78" customFormat="1" ht="19.5" customHeight="1" x14ac:dyDescent="0.25">
      <c r="A362" s="208">
        <f t="shared" si="8"/>
        <v>68.7</v>
      </c>
      <c r="B362" s="208">
        <f>YEAR(Data_NFI_t[[#This Row],[Distribution Date]])</f>
        <v>2013</v>
      </c>
      <c r="C362" s="719">
        <v>41373</v>
      </c>
      <c r="D362" s="395" t="s">
        <v>1016</v>
      </c>
      <c r="E362" s="394" t="s">
        <v>277</v>
      </c>
      <c r="F362" s="395" t="s">
        <v>7</v>
      </c>
      <c r="G362" s="646" t="s">
        <v>17</v>
      </c>
      <c r="H362" s="646" t="s">
        <v>61</v>
      </c>
      <c r="I362" s="646">
        <v>186</v>
      </c>
      <c r="J362" s="646"/>
      <c r="K362" s="646"/>
      <c r="L362" s="42"/>
      <c r="M362" s="42"/>
      <c r="N362" s="42"/>
      <c r="O362" s="42"/>
      <c r="P362" s="42"/>
      <c r="Q362" s="42"/>
      <c r="R362" s="42"/>
      <c r="S362" s="42"/>
      <c r="T362" s="410"/>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55">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09">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09">
        <f>IF(NFI_Expiration=1,IF($A362&lt;VLOOKUP(X$5,NFI,5,0),1,0)*Data_NFI_t[[#This Row],[Solar Lantern]],0)</f>
        <v>0</v>
      </c>
      <c r="AT362" s="105" t="str">
        <f ca="1">IFERROR(OFFSET(Camp_List[P_Code],MATCH(Data_NFI_t[[#This Row],[Camp Name]],Camp_List[Camp Name],0)-1,0,1,1),"")</f>
        <v>MMR012CMP041</v>
      </c>
      <c r="AU362" s="412" t="str">
        <f ca="1">IFERROR(OFFSET(Camp_List[Status],MATCH(Data_NFI_t[[#This Row],[Camp Name]],Camp_List[Camp Name],0)-1,0,1,1),"")</f>
        <v>Open</v>
      </c>
      <c r="AV362" s="105"/>
    </row>
    <row r="363" spans="1:48" s="78" customFormat="1" ht="19.5" customHeight="1" x14ac:dyDescent="0.25">
      <c r="A363" s="208">
        <f t="shared" si="8"/>
        <v>68.833333333333329</v>
      </c>
      <c r="B363" s="208">
        <f>YEAR(Data_NFI_t[[#This Row],[Distribution Date]])</f>
        <v>2013</v>
      </c>
      <c r="C363" s="719">
        <v>41369</v>
      </c>
      <c r="D363" s="395" t="s">
        <v>270</v>
      </c>
      <c r="E363" s="394"/>
      <c r="F363" s="395" t="s">
        <v>7</v>
      </c>
      <c r="G363" s="646" t="s">
        <v>17</v>
      </c>
      <c r="H363" s="646" t="s">
        <v>71</v>
      </c>
      <c r="I363" s="646"/>
      <c r="J363" s="646"/>
      <c r="K363" s="646"/>
      <c r="L363" s="42"/>
      <c r="M363" s="42"/>
      <c r="N363" s="42"/>
      <c r="O363" s="42"/>
      <c r="P363" s="42">
        <v>90</v>
      </c>
      <c r="Q363" s="42"/>
      <c r="R363" s="42"/>
      <c r="S363" s="42"/>
      <c r="T363" s="410"/>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55">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09">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09">
        <f>IF(NFI_Expiration=1,IF($A363&lt;VLOOKUP(X$5,NFI,5,0),1,0)*Data_NFI_t[[#This Row],[Solar Lantern]],0)</f>
        <v>0</v>
      </c>
      <c r="AT363" s="105" t="str">
        <f ca="1">IFERROR(OFFSET(Camp_List[P_Code],MATCH(Data_NFI_t[[#This Row],[Camp Name]],Camp_List[Camp Name],0)-1,0,1,1),"")</f>
        <v>MMR012CMP051</v>
      </c>
      <c r="AU363" s="412" t="str">
        <f ca="1">IFERROR(OFFSET(Camp_List[Status],MATCH(Data_NFI_t[[#This Row],[Camp Name]],Camp_List[Camp Name],0)-1,0,1,1),"")</f>
        <v>Close</v>
      </c>
      <c r="AV363" s="105"/>
    </row>
    <row r="364" spans="1:48" s="78" customFormat="1" ht="19.5" customHeight="1" x14ac:dyDescent="0.25">
      <c r="A364" s="208">
        <f t="shared" si="8"/>
        <v>68.86666666666666</v>
      </c>
      <c r="B364" s="208">
        <f>YEAR(Data_NFI_t[[#This Row],[Distribution Date]])</f>
        <v>2013</v>
      </c>
      <c r="C364" s="719">
        <v>41368</v>
      </c>
      <c r="D364" s="395" t="s">
        <v>270</v>
      </c>
      <c r="E364" s="394"/>
      <c r="F364" s="395" t="s">
        <v>7</v>
      </c>
      <c r="G364" s="646" t="s">
        <v>17</v>
      </c>
      <c r="H364" s="646" t="s">
        <v>71</v>
      </c>
      <c r="I364" s="646"/>
      <c r="J364" s="646"/>
      <c r="K364" s="646"/>
      <c r="L364" s="42"/>
      <c r="M364" s="42"/>
      <c r="N364" s="42"/>
      <c r="O364" s="42"/>
      <c r="P364" s="42">
        <v>45</v>
      </c>
      <c r="Q364" s="42"/>
      <c r="R364" s="42"/>
      <c r="S364" s="42"/>
      <c r="T364" s="410"/>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55">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09">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09">
        <f>IF(NFI_Expiration=1,IF($A364&lt;VLOOKUP(X$5,NFI,5,0),1,0)*Data_NFI_t[[#This Row],[Solar Lantern]],0)</f>
        <v>0</v>
      </c>
      <c r="AT364" s="105" t="str">
        <f ca="1">IFERROR(OFFSET(Camp_List[P_Code],MATCH(Data_NFI_t[[#This Row],[Camp Name]],Camp_List[Camp Name],0)-1,0,1,1),"")</f>
        <v>MMR012CMP051</v>
      </c>
      <c r="AU364" s="412" t="str">
        <f ca="1">IFERROR(OFFSET(Camp_List[Status],MATCH(Data_NFI_t[[#This Row],[Camp Name]],Camp_List[Camp Name],0)-1,0,1,1),"")</f>
        <v>Close</v>
      </c>
      <c r="AV364" s="105"/>
    </row>
    <row r="365" spans="1:48" s="78" customFormat="1" ht="19.5" customHeight="1" x14ac:dyDescent="0.25">
      <c r="A365" s="208">
        <f t="shared" si="8"/>
        <v>68.900000000000006</v>
      </c>
      <c r="B365" s="208">
        <f>YEAR(Data_NFI_t[[#This Row],[Distribution Date]])</f>
        <v>2013</v>
      </c>
      <c r="C365" s="719">
        <v>41367</v>
      </c>
      <c r="D365" s="395" t="s">
        <v>270</v>
      </c>
      <c r="E365" s="394"/>
      <c r="F365" s="395" t="s">
        <v>7</v>
      </c>
      <c r="G365" s="646" t="s">
        <v>17</v>
      </c>
      <c r="H365" s="646" t="s">
        <v>71</v>
      </c>
      <c r="I365" s="646"/>
      <c r="J365" s="646"/>
      <c r="K365" s="646"/>
      <c r="L365" s="42"/>
      <c r="M365" s="42"/>
      <c r="N365" s="42"/>
      <c r="O365" s="42"/>
      <c r="P365" s="42">
        <v>45</v>
      </c>
      <c r="Q365" s="42"/>
      <c r="R365" s="42"/>
      <c r="S365" s="42"/>
      <c r="T365" s="410"/>
      <c r="U365" s="42"/>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55">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09">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09">
        <f>IF(NFI_Expiration=1,IF($A365&lt;VLOOKUP(X$5,NFI,5,0),1,0)*Data_NFI_t[[#This Row],[Solar Lantern]],0)</f>
        <v>0</v>
      </c>
      <c r="AT365" s="105" t="str">
        <f ca="1">IFERROR(OFFSET(Camp_List[P_Code],MATCH(Data_NFI_t[[#This Row],[Camp Name]],Camp_List[Camp Name],0)-1,0,1,1),"")</f>
        <v>MMR012CMP051</v>
      </c>
      <c r="AU365" s="412" t="str">
        <f ca="1">IFERROR(OFFSET(Camp_List[Status],MATCH(Data_NFI_t[[#This Row],[Camp Name]],Camp_List[Camp Name],0)-1,0,1,1),"")</f>
        <v>Close</v>
      </c>
      <c r="AV365" s="105"/>
    </row>
    <row r="366" spans="1:48" s="78" customFormat="1" ht="19.5" customHeight="1" x14ac:dyDescent="0.25">
      <c r="A366" s="208">
        <f t="shared" si="8"/>
        <v>68.933333333333337</v>
      </c>
      <c r="B366" s="208">
        <f>YEAR(Data_NFI_t[[#This Row],[Distribution Date]])</f>
        <v>2013</v>
      </c>
      <c r="C366" s="719">
        <v>41366</v>
      </c>
      <c r="D366" s="395" t="s">
        <v>473</v>
      </c>
      <c r="E366" s="394" t="s">
        <v>473</v>
      </c>
      <c r="F366" s="395" t="s">
        <v>7</v>
      </c>
      <c r="G366" s="646" t="s">
        <v>17</v>
      </c>
      <c r="H366" s="646" t="s">
        <v>68</v>
      </c>
      <c r="I366" s="646">
        <v>3100</v>
      </c>
      <c r="J366" s="646"/>
      <c r="K366" s="646"/>
      <c r="L366" s="42"/>
      <c r="M366" s="42"/>
      <c r="N366" s="42"/>
      <c r="O366" s="42"/>
      <c r="P366" s="42"/>
      <c r="Q366" s="42"/>
      <c r="R366" s="42"/>
      <c r="S366" s="42"/>
      <c r="T366" s="410"/>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55">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09">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09">
        <f>IF(NFI_Expiration=1,IF($A366&lt;VLOOKUP(X$5,NFI,5,0),1,0)*Data_NFI_t[[#This Row],[Solar Lantern]],0)</f>
        <v>0</v>
      </c>
      <c r="AT366" s="105" t="str">
        <f ca="1">IFERROR(OFFSET(Camp_List[P_Code],MATCH(Data_NFI_t[[#This Row],[Camp Name]],Camp_List[Camp Name],0)-1,0,1,1),"")</f>
        <v>MMR012CMP048</v>
      </c>
      <c r="AU366" s="412" t="str">
        <f ca="1">IFERROR(OFFSET(Camp_List[Status],MATCH(Data_NFI_t[[#This Row],[Camp Name]],Camp_List[Camp Name],0)-1,0,1,1),"")</f>
        <v>Open</v>
      </c>
      <c r="AV366" s="105"/>
    </row>
    <row r="367" spans="1:48" s="78" customFormat="1" ht="19.5" customHeight="1" x14ac:dyDescent="0.25">
      <c r="A367" s="208">
        <f t="shared" si="8"/>
        <v>69.566666666666663</v>
      </c>
      <c r="B367" s="208">
        <f>YEAR(Data_NFI_t[[#This Row],[Distribution Date]])</f>
        <v>2013</v>
      </c>
      <c r="C367" s="719">
        <v>41347</v>
      </c>
      <c r="D367" s="395" t="s">
        <v>270</v>
      </c>
      <c r="E367" s="394"/>
      <c r="F367" s="395" t="s">
        <v>7</v>
      </c>
      <c r="G367" s="646" t="s">
        <v>15</v>
      </c>
      <c r="H367" s="646" t="s">
        <v>54</v>
      </c>
      <c r="I367" s="646">
        <v>0</v>
      </c>
      <c r="J367" s="646"/>
      <c r="K367" s="646"/>
      <c r="L367" s="42">
        <v>68</v>
      </c>
      <c r="M367" s="42"/>
      <c r="N367" s="42">
        <v>136</v>
      </c>
      <c r="O367" s="42">
        <v>68</v>
      </c>
      <c r="P367" s="42">
        <v>136</v>
      </c>
      <c r="Q367" s="42">
        <v>68</v>
      </c>
      <c r="R367" s="42">
        <v>68</v>
      </c>
      <c r="S367" s="42">
        <v>68</v>
      </c>
      <c r="T367" s="410"/>
      <c r="U367" s="42">
        <v>136</v>
      </c>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55">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09">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09">
        <f>IF(NFI_Expiration=1,IF($A367&lt;VLOOKUP(X$5,NFI,5,0),1,0)*Data_NFI_t[[#This Row],[Solar Lantern]],0)</f>
        <v>0</v>
      </c>
      <c r="AT367" s="105" t="str">
        <f ca="1">IFERROR(OFFSET(Camp_List[P_Code],MATCH(Data_NFI_t[[#This Row],[Camp Name]],Camp_List[Camp Name],0)-1,0,1,1),"")</f>
        <v>MMR012CMP032</v>
      </c>
      <c r="AU367" s="412" t="str">
        <f ca="1">IFERROR(OFFSET(Camp_List[Status],MATCH(Data_NFI_t[[#This Row],[Camp Name]],Camp_List[Camp Name],0)-1,0,1,1),"")</f>
        <v>Returned</v>
      </c>
      <c r="AV367" s="105"/>
    </row>
    <row r="368" spans="1:48" s="78" customFormat="1" ht="19.5" customHeight="1" x14ac:dyDescent="0.25">
      <c r="A368" s="208">
        <f t="shared" si="8"/>
        <v>69.566666666666663</v>
      </c>
      <c r="B368" s="208">
        <f>YEAR(Data_NFI_t[[#This Row],[Distribution Date]])</f>
        <v>2013</v>
      </c>
      <c r="C368" s="719">
        <v>41347</v>
      </c>
      <c r="D368" s="395" t="s">
        <v>270</v>
      </c>
      <c r="E368" s="394"/>
      <c r="F368" s="395" t="s">
        <v>7</v>
      </c>
      <c r="G368" s="646" t="s">
        <v>15</v>
      </c>
      <c r="H368" s="646" t="s">
        <v>54</v>
      </c>
      <c r="I368" s="646">
        <v>0</v>
      </c>
      <c r="J368" s="646"/>
      <c r="K368" s="646"/>
      <c r="L368" s="42"/>
      <c r="M368" s="42">
        <v>136</v>
      </c>
      <c r="N368" s="42">
        <v>136</v>
      </c>
      <c r="O368" s="42">
        <v>68</v>
      </c>
      <c r="P368" s="42">
        <v>0</v>
      </c>
      <c r="Q368" s="42"/>
      <c r="R368" s="42"/>
      <c r="S368" s="42"/>
      <c r="T368" s="410"/>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55">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09">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09">
        <f>IF(NFI_Expiration=1,IF($A368&lt;VLOOKUP(X$5,NFI,5,0),1,0)*Data_NFI_t[[#This Row],[Solar Lantern]],0)</f>
        <v>0</v>
      </c>
      <c r="AT368" s="105" t="str">
        <f ca="1">IFERROR(OFFSET(Camp_List[P_Code],MATCH(Data_NFI_t[[#This Row],[Camp Name]],Camp_List[Camp Name],0)-1,0,1,1),"")</f>
        <v>MMR012CMP032</v>
      </c>
      <c r="AU368" s="412" t="str">
        <f ca="1">IFERROR(OFFSET(Camp_List[Status],MATCH(Data_NFI_t[[#This Row],[Camp Name]],Camp_List[Camp Name],0)-1,0,1,1),"")</f>
        <v>Returned</v>
      </c>
      <c r="AV368" s="105"/>
    </row>
    <row r="369" spans="1:48" s="78" customFormat="1" ht="19.5" customHeight="1" x14ac:dyDescent="0.25">
      <c r="A369" s="208">
        <f t="shared" si="8"/>
        <v>69.566666666666663</v>
      </c>
      <c r="B369" s="208">
        <f>YEAR(Data_NFI_t[[#This Row],[Distribution Date]])</f>
        <v>2013</v>
      </c>
      <c r="C369" s="719">
        <v>41347</v>
      </c>
      <c r="D369" s="395" t="s">
        <v>270</v>
      </c>
      <c r="E369" s="394"/>
      <c r="F369" s="395" t="s">
        <v>7</v>
      </c>
      <c r="G369" s="646" t="s">
        <v>18</v>
      </c>
      <c r="H369" s="646" t="s">
        <v>103</v>
      </c>
      <c r="I369" s="646">
        <v>0</v>
      </c>
      <c r="J369" s="646"/>
      <c r="K369" s="646"/>
      <c r="L369" s="42">
        <v>79</v>
      </c>
      <c r="M369" s="42"/>
      <c r="N369" s="42">
        <v>158</v>
      </c>
      <c r="O369" s="42">
        <v>79</v>
      </c>
      <c r="P369" s="42">
        <v>158</v>
      </c>
      <c r="Q369" s="42">
        <v>79</v>
      </c>
      <c r="R369" s="42">
        <v>79</v>
      </c>
      <c r="S369" s="42">
        <v>79</v>
      </c>
      <c r="T369" s="410"/>
      <c r="U369" s="42">
        <v>158</v>
      </c>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55">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09">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09">
        <f>IF(NFI_Expiration=1,IF($A369&lt;VLOOKUP(X$5,NFI,5,0),1,0)*Data_NFI_t[[#This Row],[Solar Lantern]],0)</f>
        <v>0</v>
      </c>
      <c r="AT369" s="105" t="str">
        <f ca="1">IFERROR(OFFSET(Camp_List[P_Code],MATCH(Data_NFI_t[[#This Row],[Camp Name]],Camp_List[Camp Name],0)-1,0,1,1),"")</f>
        <v/>
      </c>
      <c r="AU369" s="412" t="str">
        <f ca="1">IFERROR(OFFSET(Camp_List[Status],MATCH(Data_NFI_t[[#This Row],[Camp Name]],Camp_List[Camp Name],0)-1,0,1,1),"")</f>
        <v/>
      </c>
      <c r="AV369" s="105"/>
    </row>
    <row r="370" spans="1:48" s="78" customFormat="1" ht="19.5" customHeight="1" x14ac:dyDescent="0.25">
      <c r="A370" s="208">
        <f t="shared" si="8"/>
        <v>69.566666666666663</v>
      </c>
      <c r="B370" s="208">
        <f>YEAR(Data_NFI_t[[#This Row],[Distribution Date]])</f>
        <v>2013</v>
      </c>
      <c r="C370" s="719">
        <v>41347</v>
      </c>
      <c r="D370" s="395" t="s">
        <v>270</v>
      </c>
      <c r="E370" s="394"/>
      <c r="F370" s="395" t="s">
        <v>7</v>
      </c>
      <c r="G370" s="646" t="s">
        <v>18</v>
      </c>
      <c r="H370" s="646" t="s">
        <v>103</v>
      </c>
      <c r="I370" s="646">
        <v>0</v>
      </c>
      <c r="J370" s="646"/>
      <c r="K370" s="646"/>
      <c r="L370" s="42"/>
      <c r="M370" s="42">
        <v>158</v>
      </c>
      <c r="N370" s="42">
        <v>292</v>
      </c>
      <c r="O370" s="42">
        <v>79</v>
      </c>
      <c r="P370" s="42">
        <v>0</v>
      </c>
      <c r="Q370" s="42"/>
      <c r="R370" s="42"/>
      <c r="S370" s="42"/>
      <c r="T370" s="410"/>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55">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09">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09">
        <f>IF(NFI_Expiration=1,IF($A370&lt;VLOOKUP(X$5,NFI,5,0),1,0)*Data_NFI_t[[#This Row],[Solar Lantern]],0)</f>
        <v>0</v>
      </c>
      <c r="AT370" s="105" t="str">
        <f ca="1">IFERROR(OFFSET(Camp_List[P_Code],MATCH(Data_NFI_t[[#This Row],[Camp Name]],Camp_List[Camp Name],0)-1,0,1,1),"")</f>
        <v/>
      </c>
      <c r="AU370" s="412" t="str">
        <f ca="1">IFERROR(OFFSET(Camp_List[Status],MATCH(Data_NFI_t[[#This Row],[Camp Name]],Camp_List[Camp Name],0)-1,0,1,1),"")</f>
        <v/>
      </c>
      <c r="AV370" s="105"/>
    </row>
    <row r="371" spans="1:48" s="78" customFormat="1" ht="19.5" customHeight="1" x14ac:dyDescent="0.25">
      <c r="A371" s="208">
        <f t="shared" si="8"/>
        <v>69.566666666666663</v>
      </c>
      <c r="B371" s="208">
        <f>YEAR(Data_NFI_t[[#This Row],[Distribution Date]])</f>
        <v>2013</v>
      </c>
      <c r="C371" s="719">
        <v>41347</v>
      </c>
      <c r="D371" s="395" t="s">
        <v>273</v>
      </c>
      <c r="E371" s="394" t="s">
        <v>273</v>
      </c>
      <c r="F371" s="395" t="s">
        <v>7</v>
      </c>
      <c r="G371" s="646" t="s">
        <v>17</v>
      </c>
      <c r="H371" s="646" t="s">
        <v>65</v>
      </c>
      <c r="I371" s="646">
        <v>2907</v>
      </c>
      <c r="J371" s="646"/>
      <c r="K371" s="646"/>
      <c r="L371" s="42"/>
      <c r="M371" s="42"/>
      <c r="N371" s="42"/>
      <c r="O371" s="42"/>
      <c r="P371" s="42"/>
      <c r="Q371" s="42"/>
      <c r="R371" s="42"/>
      <c r="S371" s="42"/>
      <c r="T371" s="410"/>
      <c r="U371" s="42"/>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55">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09">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09">
        <f>IF(NFI_Expiration=1,IF($A371&lt;VLOOKUP(X$5,NFI,5,0),1,0)*Data_NFI_t[[#This Row],[Solar Lantern]],0)</f>
        <v>0</v>
      </c>
      <c r="AT371" s="105" t="str">
        <f ca="1">IFERROR(OFFSET(Camp_List[P_Code],MATCH(Data_NFI_t[[#This Row],[Camp Name]],Camp_List[Camp Name],0)-1,0,1,1),"")</f>
        <v>MMR012CMP045</v>
      </c>
      <c r="AU371" s="412" t="str">
        <f ca="1">IFERROR(OFFSET(Camp_List[Status],MATCH(Data_NFI_t[[#This Row],[Camp Name]],Camp_List[Camp Name],0)-1,0,1,1),"")</f>
        <v>Open</v>
      </c>
      <c r="AV371" s="105"/>
    </row>
    <row r="372" spans="1:48" s="78" customFormat="1" ht="19.5" customHeight="1" x14ac:dyDescent="0.25">
      <c r="A372" s="208">
        <f t="shared" si="8"/>
        <v>69.86666666666666</v>
      </c>
      <c r="B372" s="208">
        <f>YEAR(Data_NFI_t[[#This Row],[Distribution Date]])</f>
        <v>2013</v>
      </c>
      <c r="C372" s="719">
        <v>41338</v>
      </c>
      <c r="D372" s="395" t="s">
        <v>270</v>
      </c>
      <c r="E372" s="394"/>
      <c r="F372" s="395" t="s">
        <v>7</v>
      </c>
      <c r="G372" s="646" t="s">
        <v>18</v>
      </c>
      <c r="H372" s="646" t="s">
        <v>102</v>
      </c>
      <c r="I372" s="646">
        <v>0</v>
      </c>
      <c r="J372" s="646"/>
      <c r="K372" s="646"/>
      <c r="L372" s="42">
        <v>0</v>
      </c>
      <c r="M372" s="42">
        <v>0</v>
      </c>
      <c r="N372" s="42">
        <v>34</v>
      </c>
      <c r="O372" s="42">
        <v>0</v>
      </c>
      <c r="P372" s="42">
        <v>0</v>
      </c>
      <c r="Q372" s="42"/>
      <c r="R372" s="42"/>
      <c r="S372" s="42"/>
      <c r="T372" s="410"/>
      <c r="U372" s="42"/>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55">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09">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09">
        <f>IF(NFI_Expiration=1,IF($A372&lt;VLOOKUP(X$5,NFI,5,0),1,0)*Data_NFI_t[[#This Row],[Solar Lantern]],0)</f>
        <v>0</v>
      </c>
      <c r="AT372" s="105" t="str">
        <f ca="1">IFERROR(OFFSET(Camp_List[P_Code],MATCH(Data_NFI_t[[#This Row],[Camp Name]],Camp_List[Camp Name],0)-1,0,1,1),"")</f>
        <v/>
      </c>
      <c r="AU372" s="412" t="str">
        <f ca="1">IFERROR(OFFSET(Camp_List[Status],MATCH(Data_NFI_t[[#This Row],[Camp Name]],Camp_List[Camp Name],0)-1,0,1,1),"")</f>
        <v/>
      </c>
      <c r="AV372" s="105"/>
    </row>
    <row r="373" spans="1:48" s="78" customFormat="1" ht="19.5" customHeight="1" x14ac:dyDescent="0.25">
      <c r="A373" s="208">
        <f t="shared" si="8"/>
        <v>69.933333333333337</v>
      </c>
      <c r="B373" s="208">
        <f>YEAR(Data_NFI_t[[#This Row],[Distribution Date]])</f>
        <v>2013</v>
      </c>
      <c r="C373" s="719">
        <v>41336</v>
      </c>
      <c r="D373" s="395" t="s">
        <v>270</v>
      </c>
      <c r="E373" s="394"/>
      <c r="F373" s="395" t="s">
        <v>7</v>
      </c>
      <c r="G373" s="646" t="s">
        <v>11</v>
      </c>
      <c r="H373" s="646" t="s">
        <v>29</v>
      </c>
      <c r="I373" s="646"/>
      <c r="J373" s="646"/>
      <c r="K373" s="646"/>
      <c r="L373" s="42"/>
      <c r="M373" s="42"/>
      <c r="N373" s="42"/>
      <c r="O373" s="42"/>
      <c r="P373" s="42">
        <v>33</v>
      </c>
      <c r="Q373" s="42"/>
      <c r="R373" s="42"/>
      <c r="S373" s="42"/>
      <c r="T373" s="410"/>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55">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09">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09">
        <f>IF(NFI_Expiration=1,IF($A373&lt;VLOOKUP(X$5,NFI,5,0),1,0)*Data_NFI_t[[#This Row],[Solar Lantern]],0)</f>
        <v>0</v>
      </c>
      <c r="AT373" s="105" t="str">
        <f ca="1">IFERROR(OFFSET(Camp_List[P_Code],MATCH(Data_NFI_t[[#This Row],[Camp Name]],Camp_List[Camp Name],0)-1,0,1,1),"")</f>
        <v>MMR012CMP007</v>
      </c>
      <c r="AU373" s="412" t="str">
        <f ca="1">IFERROR(OFFSET(Camp_List[Status],MATCH(Data_NFI_t[[#This Row],[Camp Name]],Camp_List[Camp Name],0)-1,0,1,1),"")</f>
        <v>Close</v>
      </c>
      <c r="AV373" s="105"/>
    </row>
    <row r="374" spans="1:48" s="78" customFormat="1" ht="19.5" customHeight="1" x14ac:dyDescent="0.25">
      <c r="A374" s="208">
        <f t="shared" si="8"/>
        <v>70</v>
      </c>
      <c r="B374" s="208">
        <f>YEAR(Data_NFI_t[[#This Row],[Distribution Date]])</f>
        <v>2013</v>
      </c>
      <c r="C374" s="719">
        <v>41334</v>
      </c>
      <c r="D374" s="395" t="s">
        <v>270</v>
      </c>
      <c r="E374" s="394"/>
      <c r="F374" s="395" t="s">
        <v>7</v>
      </c>
      <c r="G374" s="646" t="s">
        <v>18</v>
      </c>
      <c r="H374" s="646" t="s">
        <v>105</v>
      </c>
      <c r="I374" s="646">
        <v>0</v>
      </c>
      <c r="J374" s="646"/>
      <c r="K374" s="646"/>
      <c r="L374" s="42">
        <v>51</v>
      </c>
      <c r="M374" s="42"/>
      <c r="N374" s="42">
        <v>102</v>
      </c>
      <c r="O374" s="42">
        <v>51</v>
      </c>
      <c r="P374" s="42">
        <v>102</v>
      </c>
      <c r="Q374" s="42">
        <v>51</v>
      </c>
      <c r="R374" s="42">
        <v>51</v>
      </c>
      <c r="S374" s="42">
        <v>51</v>
      </c>
      <c r="T374" s="410"/>
      <c r="U374" s="42">
        <v>102</v>
      </c>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55">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09">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09">
        <f>IF(NFI_Expiration=1,IF($A374&lt;VLOOKUP(X$5,NFI,5,0),1,0)*Data_NFI_t[[#This Row],[Solar Lantern]],0)</f>
        <v>0</v>
      </c>
      <c r="AT374" s="105" t="str">
        <f ca="1">IFERROR(OFFSET(Camp_List[P_Code],MATCH(Data_NFI_t[[#This Row],[Camp Name]],Camp_List[Camp Name],0)-1,0,1,1),"")</f>
        <v/>
      </c>
      <c r="AU374" s="412" t="str">
        <f ca="1">IFERROR(OFFSET(Camp_List[Status],MATCH(Data_NFI_t[[#This Row],[Camp Name]],Camp_List[Camp Name],0)-1,0,1,1),"")</f>
        <v/>
      </c>
      <c r="AV374" s="105"/>
    </row>
    <row r="375" spans="1:48" s="78" customFormat="1" ht="19.5" customHeight="1" x14ac:dyDescent="0.25">
      <c r="A375" s="208">
        <f t="shared" si="8"/>
        <v>70</v>
      </c>
      <c r="B375" s="208">
        <f>YEAR(Data_NFI_t[[#This Row],[Distribution Date]])</f>
        <v>2013</v>
      </c>
      <c r="C375" s="719">
        <v>41334</v>
      </c>
      <c r="D375" s="395" t="s">
        <v>270</v>
      </c>
      <c r="E375" s="394"/>
      <c r="F375" s="395" t="s">
        <v>7</v>
      </c>
      <c r="G375" s="646" t="s">
        <v>18</v>
      </c>
      <c r="H375" s="646" t="s">
        <v>105</v>
      </c>
      <c r="I375" s="646">
        <v>0</v>
      </c>
      <c r="J375" s="646"/>
      <c r="K375" s="646"/>
      <c r="L375" s="42"/>
      <c r="M375" s="42">
        <v>102</v>
      </c>
      <c r="N375" s="42">
        <v>156</v>
      </c>
      <c r="O375" s="42">
        <v>51</v>
      </c>
      <c r="P375" s="42">
        <v>0</v>
      </c>
      <c r="Q375" s="42"/>
      <c r="R375" s="42"/>
      <c r="S375" s="42"/>
      <c r="T375" s="410"/>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55">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09">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09">
        <f>IF(NFI_Expiration=1,IF($A375&lt;VLOOKUP(X$5,NFI,5,0),1,0)*Data_NFI_t[[#This Row],[Solar Lantern]],0)</f>
        <v>0</v>
      </c>
      <c r="AT375" s="105" t="str">
        <f ca="1">IFERROR(OFFSET(Camp_List[P_Code],MATCH(Data_NFI_t[[#This Row],[Camp Name]],Camp_List[Camp Name],0)-1,0,1,1),"")</f>
        <v/>
      </c>
      <c r="AU375" s="412" t="str">
        <f ca="1">IFERROR(OFFSET(Camp_List[Status],MATCH(Data_NFI_t[[#This Row],[Camp Name]],Camp_List[Camp Name],0)-1,0,1,1),"")</f>
        <v/>
      </c>
      <c r="AV375" s="105"/>
    </row>
    <row r="376" spans="1:48" s="78" customFormat="1" ht="19.5" customHeight="1" x14ac:dyDescent="0.25">
      <c r="A376" s="208">
        <f t="shared" si="8"/>
        <v>70.066666666666663</v>
      </c>
      <c r="B376" s="208">
        <f>YEAR(Data_NFI_t[[#This Row],[Distribution Date]])</f>
        <v>2013</v>
      </c>
      <c r="C376" s="719">
        <v>41332</v>
      </c>
      <c r="D376" s="395" t="s">
        <v>270</v>
      </c>
      <c r="E376" s="394"/>
      <c r="F376" s="395" t="s">
        <v>7</v>
      </c>
      <c r="G376" s="646" t="s">
        <v>18</v>
      </c>
      <c r="H376" s="646" t="s">
        <v>103</v>
      </c>
      <c r="I376" s="646">
        <v>0</v>
      </c>
      <c r="J376" s="646"/>
      <c r="K376" s="646"/>
      <c r="L376" s="42">
        <v>50</v>
      </c>
      <c r="M376" s="42"/>
      <c r="N376" s="42">
        <v>100</v>
      </c>
      <c r="O376" s="42">
        <v>50</v>
      </c>
      <c r="P376" s="42">
        <v>100</v>
      </c>
      <c r="Q376" s="42">
        <v>50</v>
      </c>
      <c r="R376" s="42">
        <v>50</v>
      </c>
      <c r="S376" s="42">
        <v>50</v>
      </c>
      <c r="T376" s="410"/>
      <c r="U376" s="42">
        <v>100</v>
      </c>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55">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09">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09">
        <f>IF(NFI_Expiration=1,IF($A376&lt;VLOOKUP(X$5,NFI,5,0),1,0)*Data_NFI_t[[#This Row],[Solar Lantern]],0)</f>
        <v>0</v>
      </c>
      <c r="AT376" s="105" t="str">
        <f ca="1">IFERROR(OFFSET(Camp_List[P_Code],MATCH(Data_NFI_t[[#This Row],[Camp Name]],Camp_List[Camp Name],0)-1,0,1,1),"")</f>
        <v/>
      </c>
      <c r="AU376" s="412" t="str">
        <f ca="1">IFERROR(OFFSET(Camp_List[Status],MATCH(Data_NFI_t[[#This Row],[Camp Name]],Camp_List[Camp Name],0)-1,0,1,1),"")</f>
        <v/>
      </c>
      <c r="AV376" s="105"/>
    </row>
    <row r="377" spans="1:48" s="78" customFormat="1" ht="19.5" customHeight="1" x14ac:dyDescent="0.25">
      <c r="A377" s="208">
        <f t="shared" si="8"/>
        <v>70.066666666666663</v>
      </c>
      <c r="B377" s="208">
        <f>YEAR(Data_NFI_t[[#This Row],[Distribution Date]])</f>
        <v>2013</v>
      </c>
      <c r="C377" s="719">
        <v>41332</v>
      </c>
      <c r="D377" s="395" t="s">
        <v>270</v>
      </c>
      <c r="E377" s="394"/>
      <c r="F377" s="395" t="s">
        <v>7</v>
      </c>
      <c r="G377" s="646" t="s">
        <v>18</v>
      </c>
      <c r="H377" s="646" t="s">
        <v>103</v>
      </c>
      <c r="I377" s="646">
        <v>0</v>
      </c>
      <c r="J377" s="646"/>
      <c r="K377" s="646"/>
      <c r="L377" s="42"/>
      <c r="M377" s="42">
        <v>100</v>
      </c>
      <c r="N377" s="42">
        <v>171</v>
      </c>
      <c r="O377" s="42">
        <v>50</v>
      </c>
      <c r="P377" s="42">
        <v>0</v>
      </c>
      <c r="Q377" s="42"/>
      <c r="R377" s="42"/>
      <c r="S377" s="42"/>
      <c r="T377" s="410"/>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55">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09">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09">
        <f>IF(NFI_Expiration=1,IF($A377&lt;VLOOKUP(X$5,NFI,5,0),1,0)*Data_NFI_t[[#This Row],[Solar Lantern]],0)</f>
        <v>0</v>
      </c>
      <c r="AT377" s="105" t="str">
        <f ca="1">IFERROR(OFFSET(Camp_List[P_Code],MATCH(Data_NFI_t[[#This Row],[Camp Name]],Camp_List[Camp Name],0)-1,0,1,1),"")</f>
        <v/>
      </c>
      <c r="AU377" s="412" t="str">
        <f ca="1">IFERROR(OFFSET(Camp_List[Status],MATCH(Data_NFI_t[[#This Row],[Camp Name]],Camp_List[Camp Name],0)-1,0,1,1),"")</f>
        <v/>
      </c>
      <c r="AV377" s="105"/>
    </row>
    <row r="378" spans="1:48" s="78" customFormat="1" ht="19.5" customHeight="1" x14ac:dyDescent="0.25">
      <c r="A378" s="208">
        <f t="shared" si="8"/>
        <v>70.066666666666663</v>
      </c>
      <c r="B378" s="208">
        <f>YEAR(Data_NFI_t[[#This Row],[Distribution Date]])</f>
        <v>2013</v>
      </c>
      <c r="C378" s="719">
        <v>41332</v>
      </c>
      <c r="D378" s="395" t="s">
        <v>271</v>
      </c>
      <c r="E378" s="394"/>
      <c r="F378" s="395" t="s">
        <v>7</v>
      </c>
      <c r="G378" s="646" t="s">
        <v>17</v>
      </c>
      <c r="H378" s="646" t="s">
        <v>63</v>
      </c>
      <c r="I378" s="646">
        <v>0</v>
      </c>
      <c r="J378" s="646"/>
      <c r="K378" s="646"/>
      <c r="L378" s="42">
        <v>800</v>
      </c>
      <c r="M378" s="42"/>
      <c r="N378" s="42">
        <v>1600</v>
      </c>
      <c r="O378" s="42">
        <v>800</v>
      </c>
      <c r="P378" s="42">
        <v>1600</v>
      </c>
      <c r="Q378" s="42">
        <v>800</v>
      </c>
      <c r="R378" s="42">
        <v>800</v>
      </c>
      <c r="S378" s="42">
        <v>800</v>
      </c>
      <c r="T378" s="410"/>
      <c r="U378" s="42">
        <v>1600</v>
      </c>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55">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09">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09">
        <f>IF(NFI_Expiration=1,IF($A378&lt;VLOOKUP(X$5,NFI,5,0),1,0)*Data_NFI_t[[#This Row],[Solar Lantern]],0)</f>
        <v>0</v>
      </c>
      <c r="AT378" s="105" t="str">
        <f ca="1">IFERROR(OFFSET(Camp_List[P_Code],MATCH(Data_NFI_t[[#This Row],[Camp Name]],Camp_List[Camp Name],0)-1,0,1,1),"")</f>
        <v>MMR012CMP043</v>
      </c>
      <c r="AU378" s="412" t="str">
        <f ca="1">IFERROR(OFFSET(Camp_List[Status],MATCH(Data_NFI_t[[#This Row],[Camp Name]],Camp_List[Camp Name],0)-1,0,1,1),"")</f>
        <v>Close</v>
      </c>
      <c r="AV378" s="105"/>
    </row>
    <row r="379" spans="1:48" s="78" customFormat="1" ht="19.5" customHeight="1" x14ac:dyDescent="0.25">
      <c r="A379" s="208">
        <f t="shared" si="8"/>
        <v>70.066666666666663</v>
      </c>
      <c r="B379" s="208">
        <f>YEAR(Data_NFI_t[[#This Row],[Distribution Date]])</f>
        <v>2013</v>
      </c>
      <c r="C379" s="719">
        <v>41332</v>
      </c>
      <c r="D379" s="395" t="s">
        <v>271</v>
      </c>
      <c r="E379" s="394"/>
      <c r="F379" s="395" t="s">
        <v>7</v>
      </c>
      <c r="G379" s="646" t="s">
        <v>17</v>
      </c>
      <c r="H379" s="646" t="s">
        <v>63</v>
      </c>
      <c r="I379" s="646">
        <v>0</v>
      </c>
      <c r="J379" s="646"/>
      <c r="K379" s="646"/>
      <c r="L379" s="42"/>
      <c r="M379" s="42"/>
      <c r="N379" s="42"/>
      <c r="O379" s="42"/>
      <c r="P379" s="42"/>
      <c r="Q379" s="42"/>
      <c r="R379" s="42"/>
      <c r="S379" s="42"/>
      <c r="T379" s="410"/>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55">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09">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09">
        <f>IF(NFI_Expiration=1,IF($A379&lt;VLOOKUP(X$5,NFI,5,0),1,0)*Data_NFI_t[[#This Row],[Solar Lantern]],0)</f>
        <v>0</v>
      </c>
      <c r="AT379" s="105" t="str">
        <f ca="1">IFERROR(OFFSET(Camp_List[P_Code],MATCH(Data_NFI_t[[#This Row],[Camp Name]],Camp_List[Camp Name],0)-1,0,1,1),"")</f>
        <v>MMR012CMP043</v>
      </c>
      <c r="AU379" s="412" t="str">
        <f ca="1">IFERROR(OFFSET(Camp_List[Status],MATCH(Data_NFI_t[[#This Row],[Camp Name]],Camp_List[Camp Name],0)-1,0,1,1),"")</f>
        <v>Close</v>
      </c>
      <c r="AV379" s="105"/>
    </row>
    <row r="380" spans="1:48" s="78" customFormat="1" ht="19.5" customHeight="1" x14ac:dyDescent="0.25">
      <c r="A380" s="208">
        <f t="shared" si="8"/>
        <v>70.066666666666663</v>
      </c>
      <c r="B380" s="208">
        <f>YEAR(Data_NFI_t[[#This Row],[Distribution Date]])</f>
        <v>2013</v>
      </c>
      <c r="C380" s="719">
        <v>41332</v>
      </c>
      <c r="D380" s="395" t="s">
        <v>271</v>
      </c>
      <c r="E380" s="394"/>
      <c r="F380" s="395" t="s">
        <v>7</v>
      </c>
      <c r="G380" s="646" t="s">
        <v>17</v>
      </c>
      <c r="H380" s="646" t="s">
        <v>76</v>
      </c>
      <c r="I380" s="646">
        <v>0</v>
      </c>
      <c r="J380" s="646"/>
      <c r="K380" s="646"/>
      <c r="L380" s="42">
        <v>200</v>
      </c>
      <c r="M380" s="42"/>
      <c r="N380" s="42">
        <v>400</v>
      </c>
      <c r="O380" s="42">
        <v>200</v>
      </c>
      <c r="P380" s="42">
        <v>400</v>
      </c>
      <c r="Q380" s="42">
        <v>200</v>
      </c>
      <c r="R380" s="42">
        <v>200</v>
      </c>
      <c r="S380" s="42">
        <v>200</v>
      </c>
      <c r="T380" s="410"/>
      <c r="U380" s="42">
        <v>400</v>
      </c>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55">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09">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09">
        <f>IF(NFI_Expiration=1,IF($A380&lt;VLOOKUP(X$5,NFI,5,0),1,0)*Data_NFI_t[[#This Row],[Solar Lantern]],0)</f>
        <v>0</v>
      </c>
      <c r="AT380" s="105" t="str">
        <f ca="1">IFERROR(OFFSET(Camp_List[P_Code],MATCH(Data_NFI_t[[#This Row],[Camp Name]],Camp_List[Camp Name],0)-1,0,1,1),"")</f>
        <v>MMR012CMP056</v>
      </c>
      <c r="AU380" s="412" t="str">
        <f ca="1">IFERROR(OFFSET(Camp_List[Status],MATCH(Data_NFI_t[[#This Row],[Camp Name]],Camp_List[Camp Name],0)-1,0,1,1),"")</f>
        <v>Relocated</v>
      </c>
      <c r="AV380" s="105"/>
    </row>
    <row r="381" spans="1:48" s="78" customFormat="1" ht="19.5" customHeight="1" x14ac:dyDescent="0.25">
      <c r="A381" s="208">
        <f t="shared" si="8"/>
        <v>70.066666666666663</v>
      </c>
      <c r="B381" s="208">
        <f>YEAR(Data_NFI_t[[#This Row],[Distribution Date]])</f>
        <v>2013</v>
      </c>
      <c r="C381" s="719">
        <v>41332</v>
      </c>
      <c r="D381" s="395" t="s">
        <v>271</v>
      </c>
      <c r="E381" s="394"/>
      <c r="F381" s="395" t="s">
        <v>7</v>
      </c>
      <c r="G381" s="646" t="s">
        <v>17</v>
      </c>
      <c r="H381" s="646" t="s">
        <v>76</v>
      </c>
      <c r="I381" s="646">
        <v>0</v>
      </c>
      <c r="J381" s="646"/>
      <c r="K381" s="646"/>
      <c r="L381" s="42"/>
      <c r="M381" s="42"/>
      <c r="N381" s="42"/>
      <c r="O381" s="42"/>
      <c r="P381" s="42"/>
      <c r="Q381" s="42"/>
      <c r="R381" s="42"/>
      <c r="S381" s="42"/>
      <c r="T381" s="410"/>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55">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09">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09">
        <f>IF(NFI_Expiration=1,IF($A381&lt;VLOOKUP(X$5,NFI,5,0),1,0)*Data_NFI_t[[#This Row],[Solar Lantern]],0)</f>
        <v>0</v>
      </c>
      <c r="AT381" s="105" t="str">
        <f ca="1">IFERROR(OFFSET(Camp_List[P_Code],MATCH(Data_NFI_t[[#This Row],[Camp Name]],Camp_List[Camp Name],0)-1,0,1,1),"")</f>
        <v>MMR012CMP056</v>
      </c>
      <c r="AU381" s="412" t="str">
        <f ca="1">IFERROR(OFFSET(Camp_List[Status],MATCH(Data_NFI_t[[#This Row],[Camp Name]],Camp_List[Camp Name],0)-1,0,1,1),"")</f>
        <v>Relocated</v>
      </c>
      <c r="AV381" s="105"/>
    </row>
    <row r="382" spans="1:48" s="78" customFormat="1" ht="19.5" customHeight="1" x14ac:dyDescent="0.25">
      <c r="A382" s="208">
        <f t="shared" si="8"/>
        <v>70.233333333333334</v>
      </c>
      <c r="B382" s="208">
        <f>YEAR(Data_NFI_t[[#This Row],[Distribution Date]])</f>
        <v>2013</v>
      </c>
      <c r="C382" s="719">
        <v>41327</v>
      </c>
      <c r="D382" s="395" t="s">
        <v>272</v>
      </c>
      <c r="E382" s="394"/>
      <c r="F382" s="395" t="s">
        <v>7</v>
      </c>
      <c r="G382" s="646" t="s">
        <v>13</v>
      </c>
      <c r="H382" s="646" t="s">
        <v>37</v>
      </c>
      <c r="I382" s="646">
        <v>23</v>
      </c>
      <c r="J382" s="646"/>
      <c r="K382" s="646"/>
      <c r="L382" s="42">
        <v>0</v>
      </c>
      <c r="M382" s="42"/>
      <c r="N382" s="42"/>
      <c r="O382" s="42"/>
      <c r="P382" s="42"/>
      <c r="Q382" s="42"/>
      <c r="R382" s="42"/>
      <c r="S382" s="42"/>
      <c r="T382" s="410"/>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55">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09">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09">
        <f>IF(NFI_Expiration=1,IF($A382&lt;VLOOKUP(X$5,NFI,5,0),1,0)*Data_NFI_t[[#This Row],[Solar Lantern]],0)</f>
        <v>0</v>
      </c>
      <c r="AT382" s="105" t="str">
        <f ca="1">IFERROR(OFFSET(Camp_List[P_Code],MATCH(Data_NFI_t[[#This Row],[Camp Name]],Camp_List[Camp Name],0)-1,0,1,1),"")</f>
        <v>MMR012CMP015</v>
      </c>
      <c r="AU382" s="412" t="str">
        <f ca="1">IFERROR(OFFSET(Camp_List[Status],MATCH(Data_NFI_t[[#This Row],[Camp Name]],Camp_List[Camp Name],0)-1,0,1,1),"")</f>
        <v>Relocated</v>
      </c>
      <c r="AV382" s="105"/>
    </row>
    <row r="383" spans="1:48" s="78" customFormat="1" ht="19.5" customHeight="1" x14ac:dyDescent="0.25">
      <c r="A383" s="208">
        <f t="shared" si="8"/>
        <v>70.233333333333334</v>
      </c>
      <c r="B383" s="208">
        <f>YEAR(Data_NFI_t[[#This Row],[Distribution Date]])</f>
        <v>2013</v>
      </c>
      <c r="C383" s="719">
        <v>41327</v>
      </c>
      <c r="D383" s="395" t="s">
        <v>272</v>
      </c>
      <c r="E383" s="394"/>
      <c r="F383" s="395" t="s">
        <v>7</v>
      </c>
      <c r="G383" s="646" t="s">
        <v>13</v>
      </c>
      <c r="H383" s="646" t="s">
        <v>39</v>
      </c>
      <c r="I383" s="646">
        <v>1306</v>
      </c>
      <c r="J383" s="646"/>
      <c r="K383" s="646"/>
      <c r="L383" s="42">
        <v>0</v>
      </c>
      <c r="M383" s="42"/>
      <c r="N383" s="42"/>
      <c r="O383" s="42"/>
      <c r="P383" s="42"/>
      <c r="Q383" s="42"/>
      <c r="R383" s="42"/>
      <c r="S383" s="42"/>
      <c r="T383" s="410"/>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55">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09">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09">
        <f>IF(NFI_Expiration=1,IF($A383&lt;VLOOKUP(X$5,NFI,5,0),1,0)*Data_NFI_t[[#This Row],[Solar Lantern]],0)</f>
        <v>0</v>
      </c>
      <c r="AT383" s="105" t="str">
        <f ca="1">IFERROR(OFFSET(Camp_List[P_Code],MATCH(Data_NFI_t[[#This Row],[Camp Name]],Camp_List[Camp Name],0)-1,0,1,1),"")</f>
        <v/>
      </c>
      <c r="AU383" s="412" t="str">
        <f ca="1">IFERROR(OFFSET(Camp_List[Status],MATCH(Data_NFI_t[[#This Row],[Camp Name]],Camp_List[Camp Name],0)-1,0,1,1),"")</f>
        <v/>
      </c>
      <c r="AV383" s="105"/>
    </row>
    <row r="384" spans="1:48" s="78" customFormat="1" ht="19.5" customHeight="1" x14ac:dyDescent="0.25">
      <c r="A384" s="208">
        <f t="shared" si="8"/>
        <v>70.233333333333334</v>
      </c>
      <c r="B384" s="208">
        <f>YEAR(Data_NFI_t[[#This Row],[Distribution Date]])</f>
        <v>2013</v>
      </c>
      <c r="C384" s="719">
        <v>41327</v>
      </c>
      <c r="D384" s="395" t="s">
        <v>270</v>
      </c>
      <c r="E384" s="394"/>
      <c r="F384" s="395" t="s">
        <v>7</v>
      </c>
      <c r="G384" s="646" t="s">
        <v>18</v>
      </c>
      <c r="H384" s="646" t="s">
        <v>101</v>
      </c>
      <c r="I384" s="646">
        <v>0</v>
      </c>
      <c r="J384" s="646"/>
      <c r="K384" s="646"/>
      <c r="L384" s="42">
        <v>15</v>
      </c>
      <c r="M384" s="42"/>
      <c r="N384" s="42">
        <v>30</v>
      </c>
      <c r="O384" s="42">
        <v>15</v>
      </c>
      <c r="P384" s="42">
        <v>30</v>
      </c>
      <c r="Q384" s="42">
        <v>15</v>
      </c>
      <c r="R384" s="42">
        <v>15</v>
      </c>
      <c r="S384" s="42">
        <v>15</v>
      </c>
      <c r="T384" s="410"/>
      <c r="U384" s="42">
        <v>30</v>
      </c>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55">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09">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09">
        <f>IF(NFI_Expiration=1,IF($A384&lt;VLOOKUP(X$5,NFI,5,0),1,0)*Data_NFI_t[[#This Row],[Solar Lantern]],0)</f>
        <v>0</v>
      </c>
      <c r="AT384" s="105" t="str">
        <f ca="1">IFERROR(OFFSET(Camp_List[P_Code],MATCH(Data_NFI_t[[#This Row],[Camp Name]],Camp_List[Camp Name],0)-1,0,1,1),"")</f>
        <v>MMR012CMP082</v>
      </c>
      <c r="AU384" s="412" t="str">
        <f ca="1">IFERROR(OFFSET(Camp_List[Status],MATCH(Data_NFI_t[[#This Row],[Camp Name]],Camp_List[Camp Name],0)-1,0,1,1),"")</f>
        <v>Returned</v>
      </c>
      <c r="AV384" s="105"/>
    </row>
    <row r="385" spans="1:48" s="78" customFormat="1" ht="19.5" customHeight="1" x14ac:dyDescent="0.25">
      <c r="A385" s="208">
        <f t="shared" si="8"/>
        <v>70.233333333333334</v>
      </c>
      <c r="B385" s="208">
        <f>YEAR(Data_NFI_t[[#This Row],[Distribution Date]])</f>
        <v>2013</v>
      </c>
      <c r="C385" s="719">
        <v>41327</v>
      </c>
      <c r="D385" s="395" t="s">
        <v>270</v>
      </c>
      <c r="E385" s="394"/>
      <c r="F385" s="395" t="s">
        <v>7</v>
      </c>
      <c r="G385" s="646" t="s">
        <v>18</v>
      </c>
      <c r="H385" s="646" t="s">
        <v>101</v>
      </c>
      <c r="I385" s="646">
        <v>0</v>
      </c>
      <c r="J385" s="646"/>
      <c r="K385" s="646"/>
      <c r="L385" s="42"/>
      <c r="M385" s="42">
        <v>30</v>
      </c>
      <c r="N385" s="42">
        <v>52</v>
      </c>
      <c r="O385" s="42">
        <v>15</v>
      </c>
      <c r="P385" s="42">
        <v>0</v>
      </c>
      <c r="Q385" s="42"/>
      <c r="R385" s="42"/>
      <c r="S385" s="42"/>
      <c r="T385" s="410"/>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55">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09">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09">
        <f>IF(NFI_Expiration=1,IF($A385&lt;VLOOKUP(X$5,NFI,5,0),1,0)*Data_NFI_t[[#This Row],[Solar Lantern]],0)</f>
        <v>0</v>
      </c>
      <c r="AT385" s="105" t="str">
        <f ca="1">IFERROR(OFFSET(Camp_List[P_Code],MATCH(Data_NFI_t[[#This Row],[Camp Name]],Camp_List[Camp Name],0)-1,0,1,1),"")</f>
        <v>MMR012CMP082</v>
      </c>
      <c r="AU385" s="412" t="str">
        <f ca="1">IFERROR(OFFSET(Camp_List[Status],MATCH(Data_NFI_t[[#This Row],[Camp Name]],Camp_List[Camp Name],0)-1,0,1,1),"")</f>
        <v>Returned</v>
      </c>
      <c r="AV385" s="105"/>
    </row>
    <row r="386" spans="1:48" s="78" customFormat="1" ht="19.5" customHeight="1" x14ac:dyDescent="0.25">
      <c r="A386" s="208">
        <f t="shared" si="8"/>
        <v>70.266666666666666</v>
      </c>
      <c r="B386" s="208">
        <f>YEAR(Data_NFI_t[[#This Row],[Distribution Date]])</f>
        <v>2013</v>
      </c>
      <c r="C386" s="719">
        <v>41326</v>
      </c>
      <c r="D386" s="395" t="s">
        <v>1016</v>
      </c>
      <c r="E386" s="394" t="s">
        <v>277</v>
      </c>
      <c r="F386" s="395" t="s">
        <v>7</v>
      </c>
      <c r="G386" s="646" t="s">
        <v>17</v>
      </c>
      <c r="H386" s="646" t="s">
        <v>66</v>
      </c>
      <c r="I386" s="646">
        <v>1542</v>
      </c>
      <c r="J386" s="646"/>
      <c r="K386" s="646"/>
      <c r="L386" s="42"/>
      <c r="M386" s="42"/>
      <c r="N386" s="42"/>
      <c r="O386" s="42"/>
      <c r="P386" s="42"/>
      <c r="Q386" s="42"/>
      <c r="R386" s="42"/>
      <c r="S386" s="42"/>
      <c r="T386" s="410"/>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55">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09">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09">
        <f>IF(NFI_Expiration=1,IF($A386&lt;VLOOKUP(X$5,NFI,5,0),1,0)*Data_NFI_t[[#This Row],[Solar Lantern]],0)</f>
        <v>0</v>
      </c>
      <c r="AT386" s="105" t="str">
        <f ca="1">IFERROR(OFFSET(Camp_List[P_Code],MATCH(Data_NFI_t[[#This Row],[Camp Name]],Camp_List[Camp Name],0)-1,0,1,1),"")</f>
        <v>MMR012CMP046</v>
      </c>
      <c r="AU386" s="412" t="str">
        <f ca="1">IFERROR(OFFSET(Camp_List[Status],MATCH(Data_NFI_t[[#This Row],[Camp Name]],Camp_List[Camp Name],0)-1,0,1,1),"")</f>
        <v>Open</v>
      </c>
      <c r="AV386" s="105"/>
    </row>
    <row r="387" spans="1:48" s="78" customFormat="1" ht="19.5" customHeight="1" x14ac:dyDescent="0.25">
      <c r="A387" s="208">
        <f t="shared" si="8"/>
        <v>70.466666666666669</v>
      </c>
      <c r="B387" s="208">
        <f>YEAR(Data_NFI_t[[#This Row],[Distribution Date]])</f>
        <v>2013</v>
      </c>
      <c r="C387" s="719">
        <v>41320</v>
      </c>
      <c r="D387" s="395" t="s">
        <v>272</v>
      </c>
      <c r="E387" s="394"/>
      <c r="F387" s="395" t="s">
        <v>7</v>
      </c>
      <c r="G387" s="646" t="s">
        <v>11</v>
      </c>
      <c r="H387" s="646" t="s">
        <v>28</v>
      </c>
      <c r="I387" s="646">
        <v>90</v>
      </c>
      <c r="J387" s="646"/>
      <c r="K387" s="646"/>
      <c r="L387" s="42"/>
      <c r="M387" s="42"/>
      <c r="N387" s="42"/>
      <c r="O387" s="42"/>
      <c r="P387" s="42"/>
      <c r="Q387" s="42"/>
      <c r="R387" s="42"/>
      <c r="S387" s="42"/>
      <c r="T387" s="410"/>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55">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09">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09">
        <f>IF(NFI_Expiration=1,IF($A387&lt;VLOOKUP(X$5,NFI,5,0),1,0)*Data_NFI_t[[#This Row],[Solar Lantern]],0)</f>
        <v>0</v>
      </c>
      <c r="AT387" s="105" t="str">
        <f ca="1">IFERROR(OFFSET(Camp_List[P_Code],MATCH(Data_NFI_t[[#This Row],[Camp Name]],Camp_List[Camp Name],0)-1,0,1,1),"")</f>
        <v>MMR012CMP006</v>
      </c>
      <c r="AU387" s="412" t="str">
        <f ca="1">IFERROR(OFFSET(Camp_List[Status],MATCH(Data_NFI_t[[#This Row],[Camp Name]],Camp_List[Camp Name],0)-1,0,1,1),"")</f>
        <v>Returned</v>
      </c>
      <c r="AV387" s="105"/>
    </row>
    <row r="388" spans="1:48" s="78" customFormat="1" ht="19.5" customHeight="1" x14ac:dyDescent="0.25">
      <c r="A388" s="208">
        <f t="shared" si="8"/>
        <v>70.466666666666669</v>
      </c>
      <c r="B388" s="208">
        <f>YEAR(Data_NFI_t[[#This Row],[Distribution Date]])</f>
        <v>2013</v>
      </c>
      <c r="C388" s="719">
        <v>41320</v>
      </c>
      <c r="D388" s="395" t="s">
        <v>272</v>
      </c>
      <c r="E388" s="394"/>
      <c r="F388" s="395" t="s">
        <v>7</v>
      </c>
      <c r="G388" s="646" t="s">
        <v>932</v>
      </c>
      <c r="H388" s="646" t="s">
        <v>33</v>
      </c>
      <c r="I388" s="646">
        <v>35</v>
      </c>
      <c r="J388" s="646"/>
      <c r="K388" s="646"/>
      <c r="L388" s="42"/>
      <c r="M388" s="42"/>
      <c r="N388" s="42"/>
      <c r="O388" s="42"/>
      <c r="P388" s="42"/>
      <c r="Q388" s="42"/>
      <c r="R388" s="42"/>
      <c r="S388" s="42"/>
      <c r="T388" s="410"/>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55">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09">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09">
        <f>IF(NFI_Expiration=1,IF($A388&lt;VLOOKUP(X$5,NFI,5,0),1,0)*Data_NFI_t[[#This Row],[Solar Lantern]],0)</f>
        <v>0</v>
      </c>
      <c r="AT388" s="105" t="str">
        <f ca="1">IFERROR(OFFSET(Camp_List[P_Code],MATCH(Data_NFI_t[[#This Row],[Camp Name]],Camp_List[Camp Name],0)-1,0,1,1),"")</f>
        <v>MMR012CMP011</v>
      </c>
      <c r="AU388" s="412" t="str">
        <f ca="1">IFERROR(OFFSET(Camp_List[Status],MATCH(Data_NFI_t[[#This Row],[Camp Name]],Camp_List[Camp Name],0)-1,0,1,1),"")</f>
        <v>Close</v>
      </c>
      <c r="AV388" s="105"/>
    </row>
    <row r="389" spans="1:48" s="78" customFormat="1" ht="19.5" customHeight="1" x14ac:dyDescent="0.25">
      <c r="A389" s="208">
        <f t="shared" si="8"/>
        <v>70.466666666666669</v>
      </c>
      <c r="B389" s="208">
        <f>YEAR(Data_NFI_t[[#This Row],[Distribution Date]])</f>
        <v>2013</v>
      </c>
      <c r="C389" s="719">
        <v>41320</v>
      </c>
      <c r="D389" s="395" t="s">
        <v>272</v>
      </c>
      <c r="E389" s="394"/>
      <c r="F389" s="395" t="s">
        <v>7</v>
      </c>
      <c r="G389" s="646" t="s">
        <v>11</v>
      </c>
      <c r="H389" s="646" t="s">
        <v>26</v>
      </c>
      <c r="I389" s="646">
        <v>230</v>
      </c>
      <c r="J389" s="646"/>
      <c r="K389" s="646"/>
      <c r="L389" s="42"/>
      <c r="M389" s="42"/>
      <c r="N389" s="42"/>
      <c r="O389" s="42"/>
      <c r="P389" s="42"/>
      <c r="Q389" s="42"/>
      <c r="R389" s="42"/>
      <c r="S389" s="42"/>
      <c r="T389" s="410"/>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55">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09">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09">
        <f>IF(NFI_Expiration=1,IF($A389&lt;VLOOKUP(X$5,NFI,5,0),1,0)*Data_NFI_t[[#This Row],[Solar Lantern]],0)</f>
        <v>0</v>
      </c>
      <c r="AT389" s="105" t="str">
        <f ca="1">IFERROR(OFFSET(Camp_List[P_Code],MATCH(Data_NFI_t[[#This Row],[Camp Name]],Camp_List[Camp Name],0)-1,0,1,1),"")</f>
        <v>MMR012CMP004</v>
      </c>
      <c r="AU389" s="412" t="str">
        <f ca="1">IFERROR(OFFSET(Camp_List[Status],MATCH(Data_NFI_t[[#This Row],[Camp Name]],Camp_List[Camp Name],0)-1,0,1,1),"")</f>
        <v>Close</v>
      </c>
      <c r="AV389" s="105"/>
    </row>
    <row r="390" spans="1:48" s="78" customFormat="1" ht="19.5" customHeight="1" x14ac:dyDescent="0.25">
      <c r="A390" s="208">
        <f t="shared" si="8"/>
        <v>70.466666666666669</v>
      </c>
      <c r="B390" s="208">
        <f>YEAR(Data_NFI_t[[#This Row],[Distribution Date]])</f>
        <v>2013</v>
      </c>
      <c r="C390" s="719">
        <v>41320</v>
      </c>
      <c r="D390" s="395" t="s">
        <v>272</v>
      </c>
      <c r="E390" s="394"/>
      <c r="F390" s="395" t="s">
        <v>7</v>
      </c>
      <c r="G390" s="646" t="s">
        <v>932</v>
      </c>
      <c r="H390" s="646" t="s">
        <v>31</v>
      </c>
      <c r="I390" s="646">
        <v>245</v>
      </c>
      <c r="J390" s="646"/>
      <c r="K390" s="646"/>
      <c r="L390" s="42"/>
      <c r="M390" s="42"/>
      <c r="N390" s="42"/>
      <c r="O390" s="42"/>
      <c r="P390" s="42"/>
      <c r="Q390" s="42"/>
      <c r="R390" s="42"/>
      <c r="S390" s="42"/>
      <c r="T390" s="410"/>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55">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09">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09">
        <f>IF(NFI_Expiration=1,IF($A390&lt;VLOOKUP(X$5,NFI,5,0),1,0)*Data_NFI_t[[#This Row],[Solar Lantern]],0)</f>
        <v>0</v>
      </c>
      <c r="AT390" s="105" t="str">
        <f ca="1">IFERROR(OFFSET(Camp_List[P_Code],MATCH(Data_NFI_t[[#This Row],[Camp Name]],Camp_List[Camp Name],0)-1,0,1,1),"")</f>
        <v>MMR012CMP009</v>
      </c>
      <c r="AU390" s="412" t="str">
        <f ca="1">IFERROR(OFFSET(Camp_List[Status],MATCH(Data_NFI_t[[#This Row],[Camp Name]],Camp_List[Camp Name],0)-1,0,1,1),"")</f>
        <v>Returned</v>
      </c>
      <c r="AV390" s="105"/>
    </row>
    <row r="391" spans="1:48" s="78" customFormat="1" ht="19.5" customHeight="1" x14ac:dyDescent="0.25">
      <c r="A391" s="208">
        <f t="shared" si="8"/>
        <v>70.466666666666669</v>
      </c>
      <c r="B391" s="208">
        <f>YEAR(Data_NFI_t[[#This Row],[Distribution Date]])</f>
        <v>2013</v>
      </c>
      <c r="C391" s="719">
        <v>41320</v>
      </c>
      <c r="D391" s="395" t="s">
        <v>272</v>
      </c>
      <c r="E391" s="394"/>
      <c r="F391" s="395" t="s">
        <v>7</v>
      </c>
      <c r="G391" s="646" t="s">
        <v>11</v>
      </c>
      <c r="H391" s="646" t="s">
        <v>23</v>
      </c>
      <c r="I391" s="646">
        <v>20</v>
      </c>
      <c r="J391" s="646"/>
      <c r="K391" s="646"/>
      <c r="L391" s="42"/>
      <c r="M391" s="42"/>
      <c r="N391" s="42"/>
      <c r="O391" s="42"/>
      <c r="P391" s="42"/>
      <c r="Q391" s="42"/>
      <c r="R391" s="42"/>
      <c r="S391" s="42"/>
      <c r="T391" s="410"/>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55">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09">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09">
        <f>IF(NFI_Expiration=1,IF($A391&lt;VLOOKUP(X$5,NFI,5,0),1,0)*Data_NFI_t[[#This Row],[Solar Lantern]],0)</f>
        <v>0</v>
      </c>
      <c r="AT391" s="105" t="str">
        <f ca="1">IFERROR(OFFSET(Camp_List[P_Code],MATCH(Data_NFI_t[[#This Row],[Camp Name]],Camp_List[Camp Name],0)-1,0,1,1),"")</f>
        <v>MMR012CMP001</v>
      </c>
      <c r="AU391" s="412" t="str">
        <f ca="1">IFERROR(OFFSET(Camp_List[Status],MATCH(Data_NFI_t[[#This Row],[Camp Name]],Camp_List[Camp Name],0)-1,0,1,1),"")</f>
        <v>Returned</v>
      </c>
      <c r="AV391" s="105"/>
    </row>
    <row r="392" spans="1:48" s="78" customFormat="1" ht="19.5" customHeight="1" x14ac:dyDescent="0.25">
      <c r="A392" s="208">
        <f t="shared" si="8"/>
        <v>70.466666666666669</v>
      </c>
      <c r="B392" s="208">
        <f>YEAR(Data_NFI_t[[#This Row],[Distribution Date]])</f>
        <v>2013</v>
      </c>
      <c r="C392" s="719">
        <v>41320</v>
      </c>
      <c r="D392" s="395" t="s">
        <v>272</v>
      </c>
      <c r="E392" s="394"/>
      <c r="F392" s="395" t="s">
        <v>7</v>
      </c>
      <c r="G392" s="646" t="s">
        <v>11</v>
      </c>
      <c r="H392" s="646" t="s">
        <v>30</v>
      </c>
      <c r="I392" s="646">
        <v>230</v>
      </c>
      <c r="J392" s="646"/>
      <c r="K392" s="646"/>
      <c r="L392" s="42"/>
      <c r="M392" s="42"/>
      <c r="N392" s="42"/>
      <c r="O392" s="42"/>
      <c r="P392" s="42"/>
      <c r="Q392" s="42"/>
      <c r="R392" s="42"/>
      <c r="S392" s="42"/>
      <c r="T392" s="410"/>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55">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09">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09">
        <f>IF(NFI_Expiration=1,IF($A392&lt;VLOOKUP(X$5,NFI,5,0),1,0)*Data_NFI_t[[#This Row],[Solar Lantern]],0)</f>
        <v>0</v>
      </c>
      <c r="AT392" s="105" t="str">
        <f ca="1">IFERROR(OFFSET(Camp_List[P_Code],MATCH(Data_NFI_t[[#This Row],[Camp Name]],Camp_List[Camp Name],0)-1,0,1,1),"")</f>
        <v>MMR012CMP008</v>
      </c>
      <c r="AU392" s="412" t="str">
        <f ca="1">IFERROR(OFFSET(Camp_List[Status],MATCH(Data_NFI_t[[#This Row],[Camp Name]],Camp_List[Camp Name],0)-1,0,1,1),"")</f>
        <v>Returned</v>
      </c>
      <c r="AV392" s="105"/>
    </row>
    <row r="393" spans="1:48" s="78" customFormat="1" ht="19.5" customHeight="1" x14ac:dyDescent="0.25">
      <c r="A393" s="208">
        <f t="shared" si="8"/>
        <v>70.466666666666669</v>
      </c>
      <c r="B393" s="208">
        <f>YEAR(Data_NFI_t[[#This Row],[Distribution Date]])</f>
        <v>2013</v>
      </c>
      <c r="C393" s="719">
        <v>41320</v>
      </c>
      <c r="D393" s="395" t="s">
        <v>272</v>
      </c>
      <c r="E393" s="394"/>
      <c r="F393" s="395" t="s">
        <v>7</v>
      </c>
      <c r="G393" s="646" t="s">
        <v>11</v>
      </c>
      <c r="H393" s="646" t="s">
        <v>25</v>
      </c>
      <c r="I393" s="646">
        <v>90</v>
      </c>
      <c r="J393" s="646"/>
      <c r="K393" s="646"/>
      <c r="L393" s="42"/>
      <c r="M393" s="42"/>
      <c r="N393" s="42"/>
      <c r="O393" s="42"/>
      <c r="P393" s="42"/>
      <c r="Q393" s="42"/>
      <c r="R393" s="42"/>
      <c r="S393" s="42"/>
      <c r="T393" s="410"/>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55">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09">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09">
        <f>IF(NFI_Expiration=1,IF($A393&lt;VLOOKUP(X$5,NFI,5,0),1,0)*Data_NFI_t[[#This Row],[Solar Lantern]],0)</f>
        <v>0</v>
      </c>
      <c r="AT393" s="105" t="str">
        <f ca="1">IFERROR(OFFSET(Camp_List[P_Code],MATCH(Data_NFI_t[[#This Row],[Camp Name]],Camp_List[Camp Name],0)-1,0,1,1),"")</f>
        <v>MMR012CMP003</v>
      </c>
      <c r="AU393" s="412" t="str">
        <f ca="1">IFERROR(OFFSET(Camp_List[Status],MATCH(Data_NFI_t[[#This Row],[Camp Name]],Camp_List[Camp Name],0)-1,0,1,1),"")</f>
        <v>Returned</v>
      </c>
      <c r="AV393" s="105"/>
    </row>
    <row r="394" spans="1:48" s="78" customFormat="1" ht="19.5" customHeight="1" x14ac:dyDescent="0.25">
      <c r="A394" s="208">
        <f t="shared" si="8"/>
        <v>70.466666666666669</v>
      </c>
      <c r="B394" s="208">
        <f>YEAR(Data_NFI_t[[#This Row],[Distribution Date]])</f>
        <v>2013</v>
      </c>
      <c r="C394" s="719">
        <v>41320</v>
      </c>
      <c r="D394" s="395" t="s">
        <v>272</v>
      </c>
      <c r="E394" s="394"/>
      <c r="F394" s="395" t="s">
        <v>7</v>
      </c>
      <c r="G394" s="646" t="s">
        <v>11</v>
      </c>
      <c r="H394" s="646" t="s">
        <v>24</v>
      </c>
      <c r="I394" s="646">
        <v>205</v>
      </c>
      <c r="J394" s="646"/>
      <c r="K394" s="646"/>
      <c r="L394" s="42"/>
      <c r="M394" s="42"/>
      <c r="N394" s="42"/>
      <c r="O394" s="42"/>
      <c r="P394" s="42"/>
      <c r="Q394" s="42"/>
      <c r="R394" s="42"/>
      <c r="S394" s="42"/>
      <c r="T394" s="410"/>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55">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09">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09">
        <f>IF(NFI_Expiration=1,IF($A394&lt;VLOOKUP(X$5,NFI,5,0),1,0)*Data_NFI_t[[#This Row],[Solar Lantern]],0)</f>
        <v>0</v>
      </c>
      <c r="AT394" s="105" t="str">
        <f ca="1">IFERROR(OFFSET(Camp_List[P_Code],MATCH(Data_NFI_t[[#This Row],[Camp Name]],Camp_List[Camp Name],0)-1,0,1,1),"")</f>
        <v>MMR012CMP002</v>
      </c>
      <c r="AU394" s="412" t="str">
        <f ca="1">IFERROR(OFFSET(Camp_List[Status],MATCH(Data_NFI_t[[#This Row],[Camp Name]],Camp_List[Camp Name],0)-1,0,1,1),"")</f>
        <v>Returned</v>
      </c>
      <c r="AV394" s="105"/>
    </row>
    <row r="395" spans="1:48" s="78" customFormat="1" ht="19.5" customHeight="1" x14ac:dyDescent="0.25">
      <c r="A395" s="208">
        <f t="shared" si="8"/>
        <v>70.466666666666669</v>
      </c>
      <c r="B395" s="208">
        <f>YEAR(Data_NFI_t[[#This Row],[Distribution Date]])</f>
        <v>2013</v>
      </c>
      <c r="C395" s="719">
        <v>41320</v>
      </c>
      <c r="D395" s="395" t="s">
        <v>272</v>
      </c>
      <c r="E395" s="394"/>
      <c r="F395" s="395" t="s">
        <v>7</v>
      </c>
      <c r="G395" s="646" t="s">
        <v>11</v>
      </c>
      <c r="H395" s="646" t="s">
        <v>29</v>
      </c>
      <c r="I395" s="646">
        <v>35</v>
      </c>
      <c r="J395" s="646"/>
      <c r="K395" s="646"/>
      <c r="L395" s="42"/>
      <c r="M395" s="42"/>
      <c r="N395" s="42"/>
      <c r="O395" s="42"/>
      <c r="P395" s="42"/>
      <c r="Q395" s="42"/>
      <c r="R395" s="42"/>
      <c r="S395" s="42"/>
      <c r="T395" s="410"/>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55">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09">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09">
        <f>IF(NFI_Expiration=1,IF($A395&lt;VLOOKUP(X$5,NFI,5,0),1,0)*Data_NFI_t[[#This Row],[Solar Lantern]],0)</f>
        <v>0</v>
      </c>
      <c r="AT395" s="105" t="str">
        <f ca="1">IFERROR(OFFSET(Camp_List[P_Code],MATCH(Data_NFI_t[[#This Row],[Camp Name]],Camp_List[Camp Name],0)-1,0,1,1),"")</f>
        <v>MMR012CMP007</v>
      </c>
      <c r="AU395" s="412" t="str">
        <f ca="1">IFERROR(OFFSET(Camp_List[Status],MATCH(Data_NFI_t[[#This Row],[Camp Name]],Camp_List[Camp Name],0)-1,0,1,1),"")</f>
        <v>Close</v>
      </c>
      <c r="AV395" s="105"/>
    </row>
    <row r="396" spans="1:48" s="78" customFormat="1" ht="19.5" customHeight="1" x14ac:dyDescent="0.25">
      <c r="A396" s="208">
        <f t="shared" si="8"/>
        <v>70.466666666666669</v>
      </c>
      <c r="B396" s="208">
        <f>YEAR(Data_NFI_t[[#This Row],[Distribution Date]])</f>
        <v>2013</v>
      </c>
      <c r="C396" s="719">
        <v>41320</v>
      </c>
      <c r="D396" s="395" t="s">
        <v>272</v>
      </c>
      <c r="E396" s="394"/>
      <c r="F396" s="395" t="s">
        <v>7</v>
      </c>
      <c r="G396" s="646" t="s">
        <v>932</v>
      </c>
      <c r="H396" s="646" t="s">
        <v>32</v>
      </c>
      <c r="I396" s="646">
        <v>360</v>
      </c>
      <c r="J396" s="646"/>
      <c r="K396" s="646"/>
      <c r="L396" s="42"/>
      <c r="M396" s="42"/>
      <c r="N396" s="42"/>
      <c r="O396" s="42"/>
      <c r="P396" s="42"/>
      <c r="Q396" s="42"/>
      <c r="R396" s="42"/>
      <c r="S396" s="42"/>
      <c r="T396" s="410"/>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55">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09">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09">
        <f>IF(NFI_Expiration=1,IF($A396&lt;VLOOKUP(X$5,NFI,5,0),1,0)*Data_NFI_t[[#This Row],[Solar Lantern]],0)</f>
        <v>0</v>
      </c>
      <c r="AT396" s="105" t="str">
        <f ca="1">IFERROR(OFFSET(Camp_List[P_Code],MATCH(Data_NFI_t[[#This Row],[Camp Name]],Camp_List[Camp Name],0)-1,0,1,1),"")</f>
        <v>MMR012CMP010</v>
      </c>
      <c r="AU396" s="412" t="str">
        <f ca="1">IFERROR(OFFSET(Camp_List[Status],MATCH(Data_NFI_t[[#This Row],[Camp Name]],Camp_List[Camp Name],0)-1,0,1,1),"")</f>
        <v>Returned</v>
      </c>
      <c r="AV396" s="105"/>
    </row>
    <row r="397" spans="1:48" s="78" customFormat="1" ht="19.5" customHeight="1" x14ac:dyDescent="0.25">
      <c r="A397" s="208">
        <f t="shared" si="8"/>
        <v>70.5</v>
      </c>
      <c r="B397" s="208">
        <f>YEAR(Data_NFI_t[[#This Row],[Distribution Date]])</f>
        <v>2013</v>
      </c>
      <c r="C397" s="719">
        <v>41319</v>
      </c>
      <c r="D397" s="395" t="s">
        <v>270</v>
      </c>
      <c r="E397" s="394"/>
      <c r="F397" s="395" t="s">
        <v>7</v>
      </c>
      <c r="G397" s="646" t="s">
        <v>18</v>
      </c>
      <c r="H397" s="646" t="s">
        <v>104</v>
      </c>
      <c r="I397" s="646"/>
      <c r="J397" s="646"/>
      <c r="K397" s="646"/>
      <c r="L397" s="42">
        <v>20</v>
      </c>
      <c r="M397" s="42"/>
      <c r="N397" s="42">
        <v>40</v>
      </c>
      <c r="O397" s="42">
        <v>20</v>
      </c>
      <c r="P397" s="42">
        <v>40</v>
      </c>
      <c r="Q397" s="42">
        <v>20</v>
      </c>
      <c r="R397" s="42">
        <v>20</v>
      </c>
      <c r="S397" s="42">
        <v>20</v>
      </c>
      <c r="T397" s="410"/>
      <c r="U397" s="42">
        <v>40</v>
      </c>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55">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09">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09">
        <f>IF(NFI_Expiration=1,IF($A397&lt;VLOOKUP(X$5,NFI,5,0),1,0)*Data_NFI_t[[#This Row],[Solar Lantern]],0)</f>
        <v>0</v>
      </c>
      <c r="AT397" s="105" t="str">
        <f ca="1">IFERROR(OFFSET(Camp_List[P_Code],MATCH(Data_NFI_t[[#This Row],[Camp Name]],Camp_List[Camp Name],0)-1,0,1,1),"")</f>
        <v/>
      </c>
      <c r="AU397" s="412" t="str">
        <f ca="1">IFERROR(OFFSET(Camp_List[Status],MATCH(Data_NFI_t[[#This Row],[Camp Name]],Camp_List[Camp Name],0)-1,0,1,1),"")</f>
        <v/>
      </c>
      <c r="AV397" s="105"/>
    </row>
    <row r="398" spans="1:48" s="78" customFormat="1" ht="19.5" customHeight="1" x14ac:dyDescent="0.25">
      <c r="A398" s="208">
        <f t="shared" si="8"/>
        <v>70.5</v>
      </c>
      <c r="B398" s="208">
        <f>YEAR(Data_NFI_t[[#This Row],[Distribution Date]])</f>
        <v>2013</v>
      </c>
      <c r="C398" s="719">
        <v>41319</v>
      </c>
      <c r="D398" s="395" t="s">
        <v>270</v>
      </c>
      <c r="E398" s="394"/>
      <c r="F398" s="395" t="s">
        <v>7</v>
      </c>
      <c r="G398" s="646" t="s">
        <v>18</v>
      </c>
      <c r="H398" s="646" t="s">
        <v>104</v>
      </c>
      <c r="I398" s="646"/>
      <c r="J398" s="646"/>
      <c r="K398" s="646"/>
      <c r="L398" s="42"/>
      <c r="M398" s="42">
        <v>40</v>
      </c>
      <c r="N398" s="42">
        <v>81</v>
      </c>
      <c r="O398" s="42">
        <v>20</v>
      </c>
      <c r="P398" s="42"/>
      <c r="Q398" s="42"/>
      <c r="R398" s="42"/>
      <c r="S398" s="42"/>
      <c r="T398" s="410"/>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55">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09">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09">
        <f>IF(NFI_Expiration=1,IF($A398&lt;VLOOKUP(X$5,NFI,5,0),1,0)*Data_NFI_t[[#This Row],[Solar Lantern]],0)</f>
        <v>0</v>
      </c>
      <c r="AT398" s="105" t="str">
        <f ca="1">IFERROR(OFFSET(Camp_List[P_Code],MATCH(Data_NFI_t[[#This Row],[Camp Name]],Camp_List[Camp Name],0)-1,0,1,1),"")</f>
        <v/>
      </c>
      <c r="AU398" s="412" t="str">
        <f ca="1">IFERROR(OFFSET(Camp_List[Status],MATCH(Data_NFI_t[[#This Row],[Camp Name]],Camp_List[Camp Name],0)-1,0,1,1),"")</f>
        <v/>
      </c>
      <c r="AV398" s="105"/>
    </row>
    <row r="399" spans="1:48" s="78" customFormat="1" ht="19.5" customHeight="1" x14ac:dyDescent="0.25">
      <c r="A399" s="208">
        <f t="shared" si="8"/>
        <v>70.7</v>
      </c>
      <c r="B399" s="208">
        <f>YEAR(Data_NFI_t[[#This Row],[Distribution Date]])</f>
        <v>2013</v>
      </c>
      <c r="C399" s="719">
        <v>41313</v>
      </c>
      <c r="D399" s="395" t="s">
        <v>272</v>
      </c>
      <c r="E399" s="394"/>
      <c r="F399" s="395" t="s">
        <v>7</v>
      </c>
      <c r="G399" s="646" t="s">
        <v>561</v>
      </c>
      <c r="H399" s="646" t="s">
        <v>441</v>
      </c>
      <c r="I399" s="646">
        <v>71</v>
      </c>
      <c r="J399" s="646"/>
      <c r="K399" s="646"/>
      <c r="L399" s="42"/>
      <c r="M399" s="42"/>
      <c r="N399" s="42"/>
      <c r="O399" s="42"/>
      <c r="P399" s="42"/>
      <c r="Q399" s="42"/>
      <c r="R399" s="42"/>
      <c r="S399" s="42"/>
      <c r="T399" s="410"/>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55">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09">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09">
        <f>IF(NFI_Expiration=1,IF($A399&lt;VLOOKUP(X$5,NFI,5,0),1,0)*Data_NFI_t[[#This Row],[Solar Lantern]],0)</f>
        <v>0</v>
      </c>
      <c r="AT399" s="105" t="str">
        <f ca="1">IFERROR(OFFSET(Camp_List[P_Code],MATCH(Data_NFI_t[[#This Row],[Camp Name]],Camp_List[Camp Name],0)-1,0,1,1),"")</f>
        <v>MMR012CMP036</v>
      </c>
      <c r="AU399" s="412" t="str">
        <f ca="1">IFERROR(OFFSET(Camp_List[Status],MATCH(Data_NFI_t[[#This Row],[Camp Name]],Camp_List[Camp Name],0)-1,0,1,1),"")</f>
        <v>Relocated</v>
      </c>
      <c r="AV399" s="105"/>
    </row>
    <row r="400" spans="1:48" s="78" customFormat="1" ht="19.5" customHeight="1" x14ac:dyDescent="0.25">
      <c r="A400" s="208">
        <f t="shared" si="8"/>
        <v>70.7</v>
      </c>
      <c r="B400" s="208">
        <f>YEAR(Data_NFI_t[[#This Row],[Distribution Date]])</f>
        <v>2013</v>
      </c>
      <c r="C400" s="719">
        <v>41313</v>
      </c>
      <c r="D400" s="395" t="s">
        <v>272</v>
      </c>
      <c r="E400" s="394"/>
      <c r="F400" s="395" t="s">
        <v>7</v>
      </c>
      <c r="G400" s="646" t="s">
        <v>814</v>
      </c>
      <c r="H400" s="646" t="s">
        <v>35</v>
      </c>
      <c r="I400" s="646">
        <v>45</v>
      </c>
      <c r="J400" s="646"/>
      <c r="K400" s="646"/>
      <c r="L400" s="42"/>
      <c r="M400" s="42"/>
      <c r="N400" s="42"/>
      <c r="O400" s="42"/>
      <c r="P400" s="42"/>
      <c r="Q400" s="42"/>
      <c r="R400" s="42"/>
      <c r="S400" s="42"/>
      <c r="T400" s="410"/>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55">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09">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09">
        <f>IF(NFI_Expiration=1,IF($A400&lt;VLOOKUP(X$5,NFI,5,0),1,0)*Data_NFI_t[[#This Row],[Solar Lantern]],0)</f>
        <v>0</v>
      </c>
      <c r="AT400" s="105" t="str">
        <f ca="1">IFERROR(OFFSET(Camp_List[P_Code],MATCH(Data_NFI_t[[#This Row],[Camp Name]],Camp_List[Camp Name],0)-1,0,1,1),"")</f>
        <v>MMR012CMP013</v>
      </c>
      <c r="AU400" s="412" t="str">
        <f ca="1">IFERROR(OFFSET(Camp_List[Status],MATCH(Data_NFI_t[[#This Row],[Camp Name]],Camp_List[Camp Name],0)-1,0,1,1),"")</f>
        <v>Relocated</v>
      </c>
      <c r="AV400" s="105"/>
    </row>
    <row r="401" spans="1:48" s="78" customFormat="1" ht="19.5" customHeight="1" x14ac:dyDescent="0.25">
      <c r="A401" s="208">
        <f t="shared" si="8"/>
        <v>70.7</v>
      </c>
      <c r="B401" s="208">
        <f>YEAR(Data_NFI_t[[#This Row],[Distribution Date]])</f>
        <v>2013</v>
      </c>
      <c r="C401" s="719">
        <v>41313</v>
      </c>
      <c r="D401" s="395" t="s">
        <v>272</v>
      </c>
      <c r="E401" s="394"/>
      <c r="F401" s="395" t="s">
        <v>7</v>
      </c>
      <c r="G401" s="646" t="s">
        <v>561</v>
      </c>
      <c r="H401" s="646" t="s">
        <v>56</v>
      </c>
      <c r="I401" s="646">
        <v>418</v>
      </c>
      <c r="J401" s="646"/>
      <c r="K401" s="646"/>
      <c r="L401" s="42"/>
      <c r="M401" s="42"/>
      <c r="N401" s="42"/>
      <c r="O401" s="42"/>
      <c r="P401" s="42"/>
      <c r="Q401" s="42"/>
      <c r="R401" s="42"/>
      <c r="S401" s="42"/>
      <c r="T401" s="410"/>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55">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09">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09">
        <f>IF(NFI_Expiration=1,IF($A401&lt;VLOOKUP(X$5,NFI,5,0),1,0)*Data_NFI_t[[#This Row],[Solar Lantern]],0)</f>
        <v>0</v>
      </c>
      <c r="AT401" s="105" t="str">
        <f ca="1">IFERROR(OFFSET(Camp_List[P_Code],MATCH(Data_NFI_t[[#This Row],[Camp Name]],Camp_List[Camp Name],0)-1,0,1,1),"")</f>
        <v>MMR012CMP035</v>
      </c>
      <c r="AU401" s="412" t="str">
        <f ca="1">IFERROR(OFFSET(Camp_List[Status],MATCH(Data_NFI_t[[#This Row],[Camp Name]],Camp_List[Camp Name],0)-1,0,1,1),"")</f>
        <v>Open</v>
      </c>
      <c r="AV401" s="105"/>
    </row>
    <row r="402" spans="1:48" s="78" customFormat="1" ht="19.5" customHeight="1" x14ac:dyDescent="0.25">
      <c r="A402" s="208">
        <f t="shared" si="8"/>
        <v>70.7</v>
      </c>
      <c r="B402" s="208">
        <f>YEAR(Data_NFI_t[[#This Row],[Distribution Date]])</f>
        <v>2013</v>
      </c>
      <c r="C402" s="719">
        <v>41313</v>
      </c>
      <c r="D402" s="395" t="s">
        <v>272</v>
      </c>
      <c r="E402" s="394"/>
      <c r="F402" s="395" t="s">
        <v>7</v>
      </c>
      <c r="G402" s="646" t="s">
        <v>16</v>
      </c>
      <c r="H402" s="646" t="s">
        <v>58</v>
      </c>
      <c r="I402" s="646">
        <v>24</v>
      </c>
      <c r="J402" s="646"/>
      <c r="K402" s="646"/>
      <c r="L402" s="42"/>
      <c r="M402" s="42"/>
      <c r="N402" s="42"/>
      <c r="O402" s="42"/>
      <c r="P402" s="42"/>
      <c r="Q402" s="42"/>
      <c r="R402" s="42"/>
      <c r="S402" s="42"/>
      <c r="T402" s="410"/>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55">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09">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09">
        <f>IF(NFI_Expiration=1,IF($A402&lt;VLOOKUP(X$5,NFI,5,0),1,0)*Data_NFI_t[[#This Row],[Solar Lantern]],0)</f>
        <v>0</v>
      </c>
      <c r="AT402" s="105" t="str">
        <f ca="1">IFERROR(OFFSET(Camp_List[P_Code],MATCH(Data_NFI_t[[#This Row],[Camp Name]],Camp_List[Camp Name],0)-1,0,1,1),"")</f>
        <v>MMR012CMP038</v>
      </c>
      <c r="AU402" s="412" t="str">
        <f ca="1">IFERROR(OFFSET(Camp_List[Status],MATCH(Data_NFI_t[[#This Row],[Camp Name]],Camp_List[Camp Name],0)-1,0,1,1),"")</f>
        <v>Close</v>
      </c>
      <c r="AV402" s="105"/>
    </row>
    <row r="403" spans="1:48" s="78" customFormat="1" ht="19.5" customHeight="1" x14ac:dyDescent="0.25">
      <c r="A403" s="208">
        <f t="shared" si="8"/>
        <v>70.7</v>
      </c>
      <c r="B403" s="208">
        <f>YEAR(Data_NFI_t[[#This Row],[Distribution Date]])</f>
        <v>2013</v>
      </c>
      <c r="C403" s="719">
        <v>41313</v>
      </c>
      <c r="D403" s="395" t="s">
        <v>272</v>
      </c>
      <c r="E403" s="394"/>
      <c r="F403" s="395" t="s">
        <v>7</v>
      </c>
      <c r="G403" s="646" t="s">
        <v>16</v>
      </c>
      <c r="H403" s="646" t="s">
        <v>57</v>
      </c>
      <c r="I403" s="646">
        <v>97</v>
      </c>
      <c r="J403" s="646"/>
      <c r="K403" s="646"/>
      <c r="L403" s="42"/>
      <c r="M403" s="42"/>
      <c r="N403" s="42"/>
      <c r="O403" s="42"/>
      <c r="P403" s="42"/>
      <c r="Q403" s="42"/>
      <c r="R403" s="42"/>
      <c r="S403" s="42"/>
      <c r="T403" s="410"/>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55">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09">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09">
        <f>IF(NFI_Expiration=1,IF($A403&lt;VLOOKUP(X$5,NFI,5,0),1,0)*Data_NFI_t[[#This Row],[Solar Lantern]],0)</f>
        <v>0</v>
      </c>
      <c r="AT403" s="105" t="str">
        <f ca="1">IFERROR(OFFSET(Camp_List[P_Code],MATCH(Data_NFI_t[[#This Row],[Camp Name]],Camp_List[Camp Name],0)-1,0,1,1),"")</f>
        <v>MMR012CMP037</v>
      </c>
      <c r="AU403" s="412" t="str">
        <f ca="1">IFERROR(OFFSET(Camp_List[Status],MATCH(Data_NFI_t[[#This Row],[Camp Name]],Camp_List[Camp Name],0)-1,0,1,1),"")</f>
        <v>Close</v>
      </c>
      <c r="AV403" s="105"/>
    </row>
    <row r="404" spans="1:48" s="78" customFormat="1" ht="19.5" customHeight="1" x14ac:dyDescent="0.25">
      <c r="A404" s="208">
        <f t="shared" si="8"/>
        <v>70.7</v>
      </c>
      <c r="B404" s="208">
        <f>YEAR(Data_NFI_t[[#This Row],[Distribution Date]])</f>
        <v>2013</v>
      </c>
      <c r="C404" s="719">
        <v>41313</v>
      </c>
      <c r="D404" s="395" t="s">
        <v>272</v>
      </c>
      <c r="E404" s="394"/>
      <c r="F404" s="395" t="s">
        <v>7</v>
      </c>
      <c r="G404" s="646" t="s">
        <v>814</v>
      </c>
      <c r="H404" s="646" t="s">
        <v>36</v>
      </c>
      <c r="I404" s="646">
        <v>705</v>
      </c>
      <c r="J404" s="646"/>
      <c r="K404" s="646"/>
      <c r="L404" s="42"/>
      <c r="M404" s="42"/>
      <c r="N404" s="42"/>
      <c r="O404" s="42"/>
      <c r="P404" s="42"/>
      <c r="Q404" s="42"/>
      <c r="R404" s="42"/>
      <c r="S404" s="42"/>
      <c r="T404" s="410"/>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55">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09">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09">
        <f>IF(NFI_Expiration=1,IF($A404&lt;VLOOKUP(X$5,NFI,5,0),1,0)*Data_NFI_t[[#This Row],[Solar Lantern]],0)</f>
        <v>0</v>
      </c>
      <c r="AT404" s="105" t="str">
        <f ca="1">IFERROR(OFFSET(Camp_List[P_Code],MATCH(Data_NFI_t[[#This Row],[Camp Name]],Camp_List[Camp Name],0)-1,0,1,1),"")</f>
        <v>MMR012CMP014</v>
      </c>
      <c r="AU404" s="412" t="str">
        <f ca="1">IFERROR(OFFSET(Camp_List[Status],MATCH(Data_NFI_t[[#This Row],[Camp Name]],Camp_List[Camp Name],0)-1,0,1,1),"")</f>
        <v>Open</v>
      </c>
      <c r="AV404" s="105"/>
    </row>
    <row r="405" spans="1:48" s="78" customFormat="1" ht="19.5" customHeight="1" x14ac:dyDescent="0.25">
      <c r="A405" s="208">
        <f t="shared" si="8"/>
        <v>70.933333333333337</v>
      </c>
      <c r="B405" s="208">
        <f>YEAR(Data_NFI_t[[#This Row],[Distribution Date]])</f>
        <v>2013</v>
      </c>
      <c r="C405" s="719">
        <v>41306</v>
      </c>
      <c r="D405" s="395" t="s">
        <v>473</v>
      </c>
      <c r="E405" s="394" t="s">
        <v>473</v>
      </c>
      <c r="F405" s="395" t="s">
        <v>7</v>
      </c>
      <c r="G405" s="646" t="s">
        <v>13</v>
      </c>
      <c r="H405" s="646" t="s">
        <v>38</v>
      </c>
      <c r="I405" s="646">
        <v>803</v>
      </c>
      <c r="J405" s="646"/>
      <c r="K405" s="646"/>
      <c r="L405" s="42"/>
      <c r="M405" s="42"/>
      <c r="N405" s="42"/>
      <c r="O405" s="42"/>
      <c r="P405" s="42"/>
      <c r="Q405" s="42"/>
      <c r="R405" s="42"/>
      <c r="S405" s="42"/>
      <c r="T405" s="410"/>
      <c r="U405" s="42"/>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55">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09">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09">
        <f>IF(NFI_Expiration=1,IF($A405&lt;VLOOKUP(X$5,NFI,5,0),1,0)*Data_NFI_t[[#This Row],[Solar Lantern]],0)</f>
        <v>0</v>
      </c>
      <c r="AT405" s="105" t="str">
        <f ca="1">IFERROR(OFFSET(Camp_List[P_Code],MATCH(Data_NFI_t[[#This Row],[Camp Name]],Camp_List[Camp Name],0)-1,0,1,1),"")</f>
        <v>MMR012CMP016</v>
      </c>
      <c r="AU405" s="412" t="str">
        <f ca="1">IFERROR(OFFSET(Camp_List[Status],MATCH(Data_NFI_t[[#This Row],[Camp Name]],Camp_List[Camp Name],0)-1,0,1,1),"")</f>
        <v>Open</v>
      </c>
      <c r="AV405" s="105"/>
    </row>
    <row r="406" spans="1:48" s="78" customFormat="1" ht="19.5" customHeight="1" x14ac:dyDescent="0.25">
      <c r="A406" s="208">
        <f t="shared" si="8"/>
        <v>70.933333333333337</v>
      </c>
      <c r="B406" s="208">
        <f>YEAR(Data_NFI_t[[#This Row],[Distribution Date]])</f>
        <v>2013</v>
      </c>
      <c r="C406" s="719">
        <v>41306</v>
      </c>
      <c r="D406" s="395" t="s">
        <v>473</v>
      </c>
      <c r="E406" s="394" t="s">
        <v>473</v>
      </c>
      <c r="F406" s="395" t="s">
        <v>7</v>
      </c>
      <c r="G406" s="646" t="s">
        <v>13</v>
      </c>
      <c r="H406" s="646" t="s">
        <v>40</v>
      </c>
      <c r="I406" s="646">
        <v>858</v>
      </c>
      <c r="J406" s="646"/>
      <c r="K406" s="646"/>
      <c r="L406" s="42"/>
      <c r="M406" s="42"/>
      <c r="N406" s="42"/>
      <c r="O406" s="42"/>
      <c r="P406" s="42"/>
      <c r="Q406" s="42"/>
      <c r="R406" s="42"/>
      <c r="S406" s="42"/>
      <c r="T406" s="410"/>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55">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09">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09">
        <f>IF(NFI_Expiration=1,IF($A406&lt;VLOOKUP(X$5,NFI,5,0),1,0)*Data_NFI_t[[#This Row],[Solar Lantern]],0)</f>
        <v>0</v>
      </c>
      <c r="AT406" s="105" t="str">
        <f ca="1">IFERROR(OFFSET(Camp_List[P_Code],MATCH(Data_NFI_t[[#This Row],[Camp Name]],Camp_List[Camp Name],0)-1,0,1,1),"")</f>
        <v>MMR012CMP018</v>
      </c>
      <c r="AU406" s="412" t="str">
        <f ca="1">IFERROR(OFFSET(Camp_List[Status],MATCH(Data_NFI_t[[#This Row],[Camp Name]],Camp_List[Camp Name],0)-1,0,1,1),"")</f>
        <v>Open</v>
      </c>
      <c r="AV406" s="105"/>
    </row>
    <row r="407" spans="1:48" s="78" customFormat="1" ht="19.5" customHeight="1" x14ac:dyDescent="0.25">
      <c r="A407" s="208">
        <f t="shared" si="8"/>
        <v>71</v>
      </c>
      <c r="B407" s="208">
        <f>YEAR(Data_NFI_t[[#This Row],[Distribution Date]])</f>
        <v>2013</v>
      </c>
      <c r="C407" s="719">
        <v>41304</v>
      </c>
      <c r="D407" s="395" t="s">
        <v>473</v>
      </c>
      <c r="E407" s="394" t="s">
        <v>473</v>
      </c>
      <c r="F407" s="395" t="s">
        <v>7</v>
      </c>
      <c r="G407" s="646" t="s">
        <v>13</v>
      </c>
      <c r="H407" s="646" t="s">
        <v>41</v>
      </c>
      <c r="I407" s="646">
        <v>810</v>
      </c>
      <c r="J407" s="646"/>
      <c r="K407" s="646"/>
      <c r="L407" s="42"/>
      <c r="M407" s="42"/>
      <c r="N407" s="42"/>
      <c r="O407" s="42"/>
      <c r="P407" s="42"/>
      <c r="Q407" s="42"/>
      <c r="R407" s="42"/>
      <c r="S407" s="42"/>
      <c r="T407" s="410"/>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55">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09">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09">
        <f>IF(NFI_Expiration=1,IF($A407&lt;VLOOKUP(X$5,NFI,5,0),1,0)*Data_NFI_t[[#This Row],[Solar Lantern]],0)</f>
        <v>0</v>
      </c>
      <c r="AT407" s="105" t="str">
        <f ca="1">IFERROR(OFFSET(Camp_List[P_Code],MATCH(Data_NFI_t[[#This Row],[Camp Name]],Camp_List[Camp Name],0)-1,0,1,1),"")</f>
        <v>MMR012CMP019</v>
      </c>
      <c r="AU407" s="412" t="str">
        <f ca="1">IFERROR(OFFSET(Camp_List[Status],MATCH(Data_NFI_t[[#This Row],[Camp Name]],Camp_List[Camp Name],0)-1,0,1,1),"")</f>
        <v>Open</v>
      </c>
      <c r="AV407" s="105"/>
    </row>
    <row r="408" spans="1:48" s="78" customFormat="1" ht="19.5" customHeight="1" x14ac:dyDescent="0.25">
      <c r="A408" s="208">
        <f t="shared" si="8"/>
        <v>71.2</v>
      </c>
      <c r="B408" s="208">
        <f>YEAR(Data_NFI_t[[#This Row],[Distribution Date]])</f>
        <v>2013</v>
      </c>
      <c r="C408" s="719">
        <v>41298</v>
      </c>
      <c r="D408" s="395" t="s">
        <v>473</v>
      </c>
      <c r="E408" s="394" t="s">
        <v>473</v>
      </c>
      <c r="F408" s="395" t="s">
        <v>7</v>
      </c>
      <c r="G408" s="646" t="s">
        <v>17</v>
      </c>
      <c r="H408" s="646" t="s">
        <v>68</v>
      </c>
      <c r="I408" s="646">
        <v>3100</v>
      </c>
      <c r="J408" s="646"/>
      <c r="K408" s="646"/>
      <c r="L408" s="42"/>
      <c r="M408" s="42"/>
      <c r="N408" s="42"/>
      <c r="O408" s="42"/>
      <c r="P408" s="42"/>
      <c r="Q408" s="42"/>
      <c r="R408" s="42"/>
      <c r="S408" s="42"/>
      <c r="T408" s="410"/>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55">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09">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09">
        <f>IF(NFI_Expiration=1,IF($A408&lt;VLOOKUP(X$5,NFI,5,0),1,0)*Data_NFI_t[[#This Row],[Solar Lantern]],0)</f>
        <v>0</v>
      </c>
      <c r="AT408" s="105" t="str">
        <f ca="1">IFERROR(OFFSET(Camp_List[P_Code],MATCH(Data_NFI_t[[#This Row],[Camp Name]],Camp_List[Camp Name],0)-1,0,1,1),"")</f>
        <v>MMR012CMP048</v>
      </c>
      <c r="AU408" s="412" t="str">
        <f ca="1">IFERROR(OFFSET(Camp_List[Status],MATCH(Data_NFI_t[[#This Row],[Camp Name]],Camp_List[Camp Name],0)-1,0,1,1),"")</f>
        <v>Open</v>
      </c>
      <c r="AV408" s="105"/>
    </row>
    <row r="409" spans="1:48" s="78" customFormat="1" ht="19.5" customHeight="1" x14ac:dyDescent="0.25">
      <c r="A409" s="208">
        <f t="shared" si="8"/>
        <v>71.3</v>
      </c>
      <c r="B409" s="208">
        <f>YEAR(Data_NFI_t[[#This Row],[Distribution Date]])</f>
        <v>2013</v>
      </c>
      <c r="C409" s="719">
        <v>41295</v>
      </c>
      <c r="D409" s="395" t="s">
        <v>274</v>
      </c>
      <c r="E409" s="394" t="s">
        <v>270</v>
      </c>
      <c r="F409" s="395" t="s">
        <v>7</v>
      </c>
      <c r="G409" s="646" t="s">
        <v>17</v>
      </c>
      <c r="H409" s="646" t="s">
        <v>231</v>
      </c>
      <c r="I409" s="646"/>
      <c r="J409" s="646"/>
      <c r="K409" s="646"/>
      <c r="L409" s="42"/>
      <c r="M409" s="42"/>
      <c r="N409" s="42"/>
      <c r="O409" s="42"/>
      <c r="P409" s="42">
        <v>38</v>
      </c>
      <c r="Q409" s="42"/>
      <c r="R409" s="42"/>
      <c r="S409" s="42"/>
      <c r="T409" s="410"/>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55">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09">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09">
        <f>IF(NFI_Expiration=1,IF($A409&lt;VLOOKUP(X$5,NFI,5,0),1,0)*Data_NFI_t[[#This Row],[Solar Lantern]],0)</f>
        <v>0</v>
      </c>
      <c r="AT409" s="105" t="str">
        <f ca="1">IFERROR(OFFSET(Camp_List[P_Code],MATCH(Data_NFI_t[[#This Row],[Camp Name]],Camp_List[Camp Name],0)-1,0,1,1),"")</f>
        <v>MMR012CMP090</v>
      </c>
      <c r="AU409" s="412" t="str">
        <f ca="1">IFERROR(OFFSET(Camp_List[Status],MATCH(Data_NFI_t[[#This Row],[Camp Name]],Camp_List[Camp Name],0)-1,0,1,1),"")</f>
        <v>Close</v>
      </c>
      <c r="AV409" s="105"/>
    </row>
    <row r="410" spans="1:48" s="78" customFormat="1" ht="19.5" customHeight="1" x14ac:dyDescent="0.25">
      <c r="A410" s="208">
        <f t="shared" si="8"/>
        <v>71.400000000000006</v>
      </c>
      <c r="B410" s="208">
        <f>YEAR(Data_NFI_t[[#This Row],[Distribution Date]])</f>
        <v>2013</v>
      </c>
      <c r="C410" s="719">
        <v>41292</v>
      </c>
      <c r="D410" s="395" t="s">
        <v>270</v>
      </c>
      <c r="E410" s="394"/>
      <c r="F410" s="395" t="s">
        <v>7</v>
      </c>
      <c r="G410" s="646" t="s">
        <v>18</v>
      </c>
      <c r="H410" s="646" t="s">
        <v>107</v>
      </c>
      <c r="I410" s="646"/>
      <c r="J410" s="646"/>
      <c r="K410" s="646"/>
      <c r="L410" s="42">
        <v>63</v>
      </c>
      <c r="M410" s="42"/>
      <c r="N410" s="42">
        <v>126</v>
      </c>
      <c r="O410" s="42">
        <v>63</v>
      </c>
      <c r="P410" s="42">
        <v>126</v>
      </c>
      <c r="Q410" s="42">
        <v>63</v>
      </c>
      <c r="R410" s="42">
        <v>63</v>
      </c>
      <c r="S410" s="42">
        <v>63</v>
      </c>
      <c r="T410" s="410"/>
      <c r="U410" s="42">
        <v>126</v>
      </c>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55">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09">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09">
        <f>IF(NFI_Expiration=1,IF($A410&lt;VLOOKUP(X$5,NFI,5,0),1,0)*Data_NFI_t[[#This Row],[Solar Lantern]],0)</f>
        <v>0</v>
      </c>
      <c r="AT410" s="105" t="str">
        <f ca="1">IFERROR(OFFSET(Camp_List[P_Code],MATCH(Data_NFI_t[[#This Row],[Camp Name]],Camp_List[Camp Name],0)-1,0,1,1),"")</f>
        <v/>
      </c>
      <c r="AU410" s="412" t="str">
        <f ca="1">IFERROR(OFFSET(Camp_List[Status],MATCH(Data_NFI_t[[#This Row],[Camp Name]],Camp_List[Camp Name],0)-1,0,1,1),"")</f>
        <v/>
      </c>
      <c r="AV410" s="105"/>
    </row>
    <row r="411" spans="1:48" s="78" customFormat="1" ht="19.5" customHeight="1" x14ac:dyDescent="0.25">
      <c r="A411" s="208">
        <f t="shared" si="8"/>
        <v>71.400000000000006</v>
      </c>
      <c r="B411" s="208">
        <f>YEAR(Data_NFI_t[[#This Row],[Distribution Date]])</f>
        <v>2013</v>
      </c>
      <c r="C411" s="719">
        <v>41292</v>
      </c>
      <c r="D411" s="395" t="s">
        <v>270</v>
      </c>
      <c r="E411" s="394"/>
      <c r="F411" s="395" t="s">
        <v>7</v>
      </c>
      <c r="G411" s="646" t="s">
        <v>18</v>
      </c>
      <c r="H411" s="646" t="s">
        <v>107</v>
      </c>
      <c r="I411" s="646"/>
      <c r="J411" s="646"/>
      <c r="K411" s="646"/>
      <c r="L411" s="42"/>
      <c r="M411" s="42">
        <v>63</v>
      </c>
      <c r="N411" s="42">
        <v>126</v>
      </c>
      <c r="O411" s="42">
        <v>63</v>
      </c>
      <c r="P411" s="42">
        <v>0</v>
      </c>
      <c r="Q411" s="42"/>
      <c r="R411" s="42"/>
      <c r="S411" s="42"/>
      <c r="T411" s="410"/>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55">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09">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09">
        <f>IF(NFI_Expiration=1,IF($A411&lt;VLOOKUP(X$5,NFI,5,0),1,0)*Data_NFI_t[[#This Row],[Solar Lantern]],0)</f>
        <v>0</v>
      </c>
      <c r="AT411" s="105" t="str">
        <f ca="1">IFERROR(OFFSET(Camp_List[P_Code],MATCH(Data_NFI_t[[#This Row],[Camp Name]],Camp_List[Camp Name],0)-1,0,1,1),"")</f>
        <v/>
      </c>
      <c r="AU411" s="412" t="str">
        <f ca="1">IFERROR(OFFSET(Camp_List[Status],MATCH(Data_NFI_t[[#This Row],[Camp Name]],Camp_List[Camp Name],0)-1,0,1,1),"")</f>
        <v/>
      </c>
      <c r="AV411" s="105"/>
    </row>
    <row r="412" spans="1:48" s="78" customFormat="1" ht="19.5" customHeight="1" x14ac:dyDescent="0.25">
      <c r="A412" s="208">
        <f t="shared" si="8"/>
        <v>71.400000000000006</v>
      </c>
      <c r="B412" s="208">
        <f>YEAR(Data_NFI_t[[#This Row],[Distribution Date]])</f>
        <v>2013</v>
      </c>
      <c r="C412" s="719">
        <v>41292</v>
      </c>
      <c r="D412" s="395" t="s">
        <v>274</v>
      </c>
      <c r="E412" s="394" t="s">
        <v>270</v>
      </c>
      <c r="F412" s="395" t="s">
        <v>7</v>
      </c>
      <c r="G412" s="646" t="s">
        <v>17</v>
      </c>
      <c r="H412" s="646" t="s">
        <v>231</v>
      </c>
      <c r="I412" s="646"/>
      <c r="J412" s="646"/>
      <c r="K412" s="646"/>
      <c r="L412" s="42"/>
      <c r="M412" s="42"/>
      <c r="N412" s="42"/>
      <c r="O412" s="42"/>
      <c r="P412" s="42">
        <v>50</v>
      </c>
      <c r="Q412" s="42"/>
      <c r="R412" s="42"/>
      <c r="S412" s="42"/>
      <c r="T412" s="410"/>
      <c r="U412" s="42"/>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55">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09">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09">
        <f>IF(NFI_Expiration=1,IF($A412&lt;VLOOKUP(X$5,NFI,5,0),1,0)*Data_NFI_t[[#This Row],[Solar Lantern]],0)</f>
        <v>0</v>
      </c>
      <c r="AT412" s="105" t="str">
        <f ca="1">IFERROR(OFFSET(Camp_List[P_Code],MATCH(Data_NFI_t[[#This Row],[Camp Name]],Camp_List[Camp Name],0)-1,0,1,1),"")</f>
        <v>MMR012CMP090</v>
      </c>
      <c r="AU412" s="412" t="str">
        <f ca="1">IFERROR(OFFSET(Camp_List[Status],MATCH(Data_NFI_t[[#This Row],[Camp Name]],Camp_List[Camp Name],0)-1,0,1,1),"")</f>
        <v>Close</v>
      </c>
      <c r="AV412" s="105"/>
    </row>
    <row r="413" spans="1:48" s="78" customFormat="1" ht="19.5" customHeight="1" x14ac:dyDescent="0.25">
      <c r="A413" s="208">
        <f t="shared" si="8"/>
        <v>71.433333333333337</v>
      </c>
      <c r="B413" s="208">
        <f>YEAR(Data_NFI_t[[#This Row],[Distribution Date]])</f>
        <v>2013</v>
      </c>
      <c r="C413" s="719">
        <v>41291</v>
      </c>
      <c r="D413" s="395" t="s">
        <v>274</v>
      </c>
      <c r="E413" s="394" t="s">
        <v>270</v>
      </c>
      <c r="F413" s="395" t="s">
        <v>7</v>
      </c>
      <c r="G413" s="646" t="s">
        <v>17</v>
      </c>
      <c r="H413" s="646" t="s">
        <v>231</v>
      </c>
      <c r="I413" s="646"/>
      <c r="J413" s="646"/>
      <c r="K413" s="646"/>
      <c r="L413" s="42"/>
      <c r="M413" s="42"/>
      <c r="N413" s="42"/>
      <c r="O413" s="42"/>
      <c r="P413" s="42">
        <v>50</v>
      </c>
      <c r="Q413" s="42"/>
      <c r="R413" s="42"/>
      <c r="S413" s="42"/>
      <c r="T413" s="410"/>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55">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09">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09">
        <f>IF(NFI_Expiration=1,IF($A413&lt;VLOOKUP(X$5,NFI,5,0),1,0)*Data_NFI_t[[#This Row],[Solar Lantern]],0)</f>
        <v>0</v>
      </c>
      <c r="AT413" s="105" t="str">
        <f ca="1">IFERROR(OFFSET(Camp_List[P_Code],MATCH(Data_NFI_t[[#This Row],[Camp Name]],Camp_List[Camp Name],0)-1,0,1,1),"")</f>
        <v>MMR012CMP090</v>
      </c>
      <c r="AU413" s="412" t="str">
        <f ca="1">IFERROR(OFFSET(Camp_List[Status],MATCH(Data_NFI_t[[#This Row],[Camp Name]],Camp_List[Camp Name],0)-1,0,1,1),"")</f>
        <v>Close</v>
      </c>
      <c r="AV413" s="105"/>
    </row>
    <row r="414" spans="1:48" s="78" customFormat="1" ht="19.5" customHeight="1" x14ac:dyDescent="0.25">
      <c r="A414" s="208">
        <f t="shared" si="8"/>
        <v>71.666666666666671</v>
      </c>
      <c r="B414" s="208">
        <f>YEAR(Data_NFI_t[[#This Row],[Distribution Date]])</f>
        <v>2013</v>
      </c>
      <c r="C414" s="719">
        <v>41284</v>
      </c>
      <c r="D414" s="395" t="s">
        <v>270</v>
      </c>
      <c r="E414" s="394"/>
      <c r="F414" s="395" t="s">
        <v>7</v>
      </c>
      <c r="G414" s="646" t="s">
        <v>18</v>
      </c>
      <c r="H414" s="646" t="s">
        <v>106</v>
      </c>
      <c r="I414" s="646"/>
      <c r="J414" s="646"/>
      <c r="K414" s="646"/>
      <c r="L414" s="42">
        <v>56</v>
      </c>
      <c r="M414" s="42"/>
      <c r="N414" s="42">
        <v>112</v>
      </c>
      <c r="O414" s="42">
        <v>56</v>
      </c>
      <c r="P414" s="42">
        <v>112</v>
      </c>
      <c r="Q414" s="42">
        <v>56</v>
      </c>
      <c r="R414" s="42">
        <v>56</v>
      </c>
      <c r="S414" s="42">
        <v>56</v>
      </c>
      <c r="T414" s="410"/>
      <c r="U414" s="42">
        <v>112</v>
      </c>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55">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09">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09">
        <f>IF(NFI_Expiration=1,IF($A414&lt;VLOOKUP(X$5,NFI,5,0),1,0)*Data_NFI_t[[#This Row],[Solar Lantern]],0)</f>
        <v>0</v>
      </c>
      <c r="AT414" s="105" t="str">
        <f ca="1">IFERROR(OFFSET(Camp_List[P_Code],MATCH(Data_NFI_t[[#This Row],[Camp Name]],Camp_List[Camp Name],0)-1,0,1,1),"")</f>
        <v>MMR012CMP087</v>
      </c>
      <c r="AU414" s="412" t="str">
        <f ca="1">IFERROR(OFFSET(Camp_List[Status],MATCH(Data_NFI_t[[#This Row],[Camp Name]],Camp_List[Camp Name],0)-1,0,1,1),"")</f>
        <v>Close</v>
      </c>
      <c r="AV414" s="105"/>
    </row>
    <row r="415" spans="1:48" s="78" customFormat="1" ht="19.5" customHeight="1" x14ac:dyDescent="0.25">
      <c r="A415" s="208">
        <f t="shared" ref="A415:A478" si="9">IF(ISBLANK(C415),"",(Report_Date-C415)/30)</f>
        <v>71.666666666666671</v>
      </c>
      <c r="B415" s="208">
        <f>YEAR(Data_NFI_t[[#This Row],[Distribution Date]])</f>
        <v>2013</v>
      </c>
      <c r="C415" s="719">
        <v>41284</v>
      </c>
      <c r="D415" s="395" t="s">
        <v>270</v>
      </c>
      <c r="E415" s="394"/>
      <c r="F415" s="395" t="s">
        <v>7</v>
      </c>
      <c r="G415" s="646" t="s">
        <v>18</v>
      </c>
      <c r="H415" s="646" t="s">
        <v>106</v>
      </c>
      <c r="I415" s="646"/>
      <c r="J415" s="646"/>
      <c r="K415" s="646"/>
      <c r="L415" s="42"/>
      <c r="M415" s="42">
        <v>112</v>
      </c>
      <c r="N415" s="42">
        <v>112</v>
      </c>
      <c r="O415" s="42">
        <v>56</v>
      </c>
      <c r="P415" s="42">
        <v>0</v>
      </c>
      <c r="Q415" s="42"/>
      <c r="R415" s="42"/>
      <c r="S415" s="42"/>
      <c r="T415" s="410"/>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55">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09">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09">
        <f>IF(NFI_Expiration=1,IF($A415&lt;VLOOKUP(X$5,NFI,5,0),1,0)*Data_NFI_t[[#This Row],[Solar Lantern]],0)</f>
        <v>0</v>
      </c>
      <c r="AT415" s="105" t="str">
        <f ca="1">IFERROR(OFFSET(Camp_List[P_Code],MATCH(Data_NFI_t[[#This Row],[Camp Name]],Camp_List[Camp Name],0)-1,0,1,1),"")</f>
        <v>MMR012CMP087</v>
      </c>
      <c r="AU415" s="412" t="str">
        <f ca="1">IFERROR(OFFSET(Camp_List[Status],MATCH(Data_NFI_t[[#This Row],[Camp Name]],Camp_List[Camp Name],0)-1,0,1,1),"")</f>
        <v>Close</v>
      </c>
      <c r="AV415" s="105"/>
    </row>
    <row r="416" spans="1:48" s="78" customFormat="1" ht="19.5" customHeight="1" x14ac:dyDescent="0.25">
      <c r="A416" s="208">
        <f t="shared" si="9"/>
        <v>71.666666666666671</v>
      </c>
      <c r="B416" s="208">
        <f>YEAR(Data_NFI_t[[#This Row],[Distribution Date]])</f>
        <v>2013</v>
      </c>
      <c r="C416" s="719">
        <v>41284</v>
      </c>
      <c r="D416" s="395" t="s">
        <v>274</v>
      </c>
      <c r="E416" s="394" t="s">
        <v>270</v>
      </c>
      <c r="F416" s="395" t="s">
        <v>7</v>
      </c>
      <c r="G416" s="646" t="s">
        <v>17</v>
      </c>
      <c r="H416" s="646" t="s">
        <v>231</v>
      </c>
      <c r="I416" s="646"/>
      <c r="J416" s="646"/>
      <c r="K416" s="646"/>
      <c r="L416" s="42"/>
      <c r="M416" s="42"/>
      <c r="N416" s="42"/>
      <c r="O416" s="42"/>
      <c r="P416" s="42">
        <v>45</v>
      </c>
      <c r="Q416" s="42"/>
      <c r="R416" s="42"/>
      <c r="S416" s="42"/>
      <c r="T416" s="410"/>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55">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09">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09">
        <f>IF(NFI_Expiration=1,IF($A416&lt;VLOOKUP(X$5,NFI,5,0),1,0)*Data_NFI_t[[#This Row],[Solar Lantern]],0)</f>
        <v>0</v>
      </c>
      <c r="AT416" s="105" t="str">
        <f ca="1">IFERROR(OFFSET(Camp_List[P_Code],MATCH(Data_NFI_t[[#This Row],[Camp Name]],Camp_List[Camp Name],0)-1,0,1,1),"")</f>
        <v>MMR012CMP090</v>
      </c>
      <c r="AU416" s="412" t="str">
        <f ca="1">IFERROR(OFFSET(Camp_List[Status],MATCH(Data_NFI_t[[#This Row],[Camp Name]],Camp_List[Camp Name],0)-1,0,1,1),"")</f>
        <v>Close</v>
      </c>
      <c r="AV416" s="105"/>
    </row>
    <row r="417" spans="1:48" s="78" customFormat="1" ht="19.5" customHeight="1" x14ac:dyDescent="0.25">
      <c r="A417" s="208">
        <f t="shared" si="9"/>
        <v>71.7</v>
      </c>
      <c r="B417" s="208">
        <f>YEAR(Data_NFI_t[[#This Row],[Distribution Date]])</f>
        <v>2013</v>
      </c>
      <c r="C417" s="719">
        <v>41283</v>
      </c>
      <c r="D417" s="395" t="s">
        <v>274</v>
      </c>
      <c r="E417" s="394" t="s">
        <v>270</v>
      </c>
      <c r="F417" s="395" t="s">
        <v>7</v>
      </c>
      <c r="G417" s="646" t="s">
        <v>17</v>
      </c>
      <c r="H417" s="646" t="s">
        <v>231</v>
      </c>
      <c r="I417" s="646"/>
      <c r="J417" s="646"/>
      <c r="K417" s="646"/>
      <c r="L417" s="42"/>
      <c r="M417" s="42"/>
      <c r="N417" s="42"/>
      <c r="O417" s="42"/>
      <c r="P417" s="42">
        <v>50</v>
      </c>
      <c r="Q417" s="42"/>
      <c r="R417" s="42"/>
      <c r="S417" s="42"/>
      <c r="T417" s="410"/>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55">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09">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09">
        <f>IF(NFI_Expiration=1,IF($A417&lt;VLOOKUP(X$5,NFI,5,0),1,0)*Data_NFI_t[[#This Row],[Solar Lantern]],0)</f>
        <v>0</v>
      </c>
      <c r="AT417" s="105" t="str">
        <f ca="1">IFERROR(OFFSET(Camp_List[P_Code],MATCH(Data_NFI_t[[#This Row],[Camp Name]],Camp_List[Camp Name],0)-1,0,1,1),"")</f>
        <v>MMR012CMP090</v>
      </c>
      <c r="AU417" s="412" t="str">
        <f ca="1">IFERROR(OFFSET(Camp_List[Status],MATCH(Data_NFI_t[[#This Row],[Camp Name]],Camp_List[Camp Name],0)-1,0,1,1),"")</f>
        <v>Close</v>
      </c>
      <c r="AV417" s="105"/>
    </row>
    <row r="418" spans="1:48" s="78" customFormat="1" ht="19.5" customHeight="1" x14ac:dyDescent="0.25">
      <c r="A418" s="208">
        <f t="shared" si="9"/>
        <v>71.766666666666666</v>
      </c>
      <c r="B418" s="208">
        <f>YEAR(Data_NFI_t[[#This Row],[Distribution Date]])</f>
        <v>2013</v>
      </c>
      <c r="C418" s="719">
        <v>41281</v>
      </c>
      <c r="D418" s="395" t="s">
        <v>270</v>
      </c>
      <c r="E418" s="394"/>
      <c r="F418" s="395" t="s">
        <v>7</v>
      </c>
      <c r="G418" s="646" t="s">
        <v>15</v>
      </c>
      <c r="H418" s="646" t="s">
        <v>55</v>
      </c>
      <c r="I418" s="646"/>
      <c r="J418" s="646"/>
      <c r="K418" s="646"/>
      <c r="L418" s="42">
        <v>228</v>
      </c>
      <c r="M418" s="42"/>
      <c r="N418" s="42">
        <v>456</v>
      </c>
      <c r="O418" s="42">
        <v>228</v>
      </c>
      <c r="P418" s="42">
        <v>456</v>
      </c>
      <c r="Q418" s="42">
        <v>228</v>
      </c>
      <c r="R418" s="42">
        <v>228</v>
      </c>
      <c r="S418" s="42">
        <v>228</v>
      </c>
      <c r="T418" s="410"/>
      <c r="U418" s="42">
        <v>456</v>
      </c>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55">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09">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09">
        <f>IF(NFI_Expiration=1,IF($A418&lt;VLOOKUP(X$5,NFI,5,0),1,0)*Data_NFI_t[[#This Row],[Solar Lantern]],0)</f>
        <v>0</v>
      </c>
      <c r="AT418" s="105" t="str">
        <f ca="1">IFERROR(OFFSET(Camp_List[P_Code],MATCH(Data_NFI_t[[#This Row],[Camp Name]],Camp_List[Camp Name],0)-1,0,1,1),"")</f>
        <v/>
      </c>
      <c r="AU418" s="412" t="str">
        <f ca="1">IFERROR(OFFSET(Camp_List[Status],MATCH(Data_NFI_t[[#This Row],[Camp Name]],Camp_List[Camp Name],0)-1,0,1,1),"")</f>
        <v/>
      </c>
      <c r="AV418" s="105"/>
    </row>
    <row r="419" spans="1:48" s="78" customFormat="1" ht="19.5" customHeight="1" x14ac:dyDescent="0.25">
      <c r="A419" s="208">
        <f t="shared" si="9"/>
        <v>71.766666666666666</v>
      </c>
      <c r="B419" s="208">
        <f>YEAR(Data_NFI_t[[#This Row],[Distribution Date]])</f>
        <v>2013</v>
      </c>
      <c r="C419" s="719">
        <v>41281</v>
      </c>
      <c r="D419" s="395" t="s">
        <v>270</v>
      </c>
      <c r="E419" s="394"/>
      <c r="F419" s="395" t="s">
        <v>7</v>
      </c>
      <c r="G419" s="646" t="s">
        <v>15</v>
      </c>
      <c r="H419" s="646" t="s">
        <v>55</v>
      </c>
      <c r="I419" s="646"/>
      <c r="J419" s="646"/>
      <c r="K419" s="646"/>
      <c r="L419" s="42"/>
      <c r="M419" s="42">
        <v>228</v>
      </c>
      <c r="N419" s="42">
        <v>443</v>
      </c>
      <c r="O419" s="42">
        <v>228</v>
      </c>
      <c r="P419" s="42">
        <v>0</v>
      </c>
      <c r="Q419" s="42"/>
      <c r="R419" s="42"/>
      <c r="S419" s="42"/>
      <c r="T419" s="410"/>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55">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09">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09">
        <f>IF(NFI_Expiration=1,IF($A419&lt;VLOOKUP(X$5,NFI,5,0),1,0)*Data_NFI_t[[#This Row],[Solar Lantern]],0)</f>
        <v>0</v>
      </c>
      <c r="AT419" s="105" t="str">
        <f ca="1">IFERROR(OFFSET(Camp_List[P_Code],MATCH(Data_NFI_t[[#This Row],[Camp Name]],Camp_List[Camp Name],0)-1,0,1,1),"")</f>
        <v/>
      </c>
      <c r="AU419" s="412" t="str">
        <f ca="1">IFERROR(OFFSET(Camp_List[Status],MATCH(Data_NFI_t[[#This Row],[Camp Name]],Camp_List[Camp Name],0)-1,0,1,1),"")</f>
        <v/>
      </c>
      <c r="AV419" s="105"/>
    </row>
    <row r="420" spans="1:48" s="78" customFormat="1" ht="19.5" customHeight="1" x14ac:dyDescent="0.25">
      <c r="A420" s="208">
        <f t="shared" si="9"/>
        <v>71.766666666666666</v>
      </c>
      <c r="B420" s="208">
        <f>YEAR(Data_NFI_t[[#This Row],[Distribution Date]])</f>
        <v>2013</v>
      </c>
      <c r="C420" s="719">
        <v>41281</v>
      </c>
      <c r="D420" s="395" t="s">
        <v>270</v>
      </c>
      <c r="E420" s="394"/>
      <c r="F420" s="395" t="s">
        <v>7</v>
      </c>
      <c r="G420" s="646" t="s">
        <v>18</v>
      </c>
      <c r="H420" s="646" t="s">
        <v>102</v>
      </c>
      <c r="I420" s="646"/>
      <c r="J420" s="646"/>
      <c r="K420" s="646"/>
      <c r="L420" s="42">
        <v>93</v>
      </c>
      <c r="M420" s="42"/>
      <c r="N420" s="42">
        <v>186</v>
      </c>
      <c r="O420" s="42">
        <v>93</v>
      </c>
      <c r="P420" s="42">
        <v>186</v>
      </c>
      <c r="Q420" s="42">
        <v>93</v>
      </c>
      <c r="R420" s="42">
        <v>93</v>
      </c>
      <c r="S420" s="42">
        <v>93</v>
      </c>
      <c r="T420" s="410"/>
      <c r="U420" s="42">
        <v>186</v>
      </c>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55">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09">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09">
        <f>IF(NFI_Expiration=1,IF($A420&lt;VLOOKUP(X$5,NFI,5,0),1,0)*Data_NFI_t[[#This Row],[Solar Lantern]],0)</f>
        <v>0</v>
      </c>
      <c r="AT420" s="105" t="str">
        <f ca="1">IFERROR(OFFSET(Camp_List[P_Code],MATCH(Data_NFI_t[[#This Row],[Camp Name]],Camp_List[Camp Name],0)-1,0,1,1),"")</f>
        <v/>
      </c>
      <c r="AU420" s="412" t="str">
        <f ca="1">IFERROR(OFFSET(Camp_List[Status],MATCH(Data_NFI_t[[#This Row],[Camp Name]],Camp_List[Camp Name],0)-1,0,1,1),"")</f>
        <v/>
      </c>
      <c r="AV420" s="105"/>
    </row>
    <row r="421" spans="1:48" s="78" customFormat="1" ht="19.5" customHeight="1" x14ac:dyDescent="0.25">
      <c r="A421" s="208">
        <f t="shared" si="9"/>
        <v>71.766666666666666</v>
      </c>
      <c r="B421" s="208">
        <f>YEAR(Data_NFI_t[[#This Row],[Distribution Date]])</f>
        <v>2013</v>
      </c>
      <c r="C421" s="719">
        <v>41281</v>
      </c>
      <c r="D421" s="395" t="s">
        <v>270</v>
      </c>
      <c r="E421" s="394"/>
      <c r="F421" s="395" t="s">
        <v>7</v>
      </c>
      <c r="G421" s="646" t="s">
        <v>18</v>
      </c>
      <c r="H421" s="646" t="s">
        <v>102</v>
      </c>
      <c r="I421" s="646"/>
      <c r="J421" s="646"/>
      <c r="K421" s="646"/>
      <c r="L421" s="42"/>
      <c r="M421" s="42">
        <v>186</v>
      </c>
      <c r="N421" s="42">
        <v>186</v>
      </c>
      <c r="O421" s="42">
        <v>93</v>
      </c>
      <c r="P421" s="42">
        <v>0</v>
      </c>
      <c r="Q421" s="42"/>
      <c r="R421" s="42"/>
      <c r="S421" s="42"/>
      <c r="T421" s="410"/>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55">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09">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09">
        <f>IF(NFI_Expiration=1,IF($A421&lt;VLOOKUP(X$5,NFI,5,0),1,0)*Data_NFI_t[[#This Row],[Solar Lantern]],0)</f>
        <v>0</v>
      </c>
      <c r="AT421" s="105" t="str">
        <f ca="1">IFERROR(OFFSET(Camp_List[P_Code],MATCH(Data_NFI_t[[#This Row],[Camp Name]],Camp_List[Camp Name],0)-1,0,1,1),"")</f>
        <v/>
      </c>
      <c r="AU421" s="412" t="str">
        <f ca="1">IFERROR(OFFSET(Camp_List[Status],MATCH(Data_NFI_t[[#This Row],[Camp Name]],Camp_List[Camp Name],0)-1,0,1,1),"")</f>
        <v/>
      </c>
      <c r="AV421" s="105"/>
    </row>
    <row r="422" spans="1:48" s="78" customFormat="1" ht="19.5" customHeight="1" x14ac:dyDescent="0.25">
      <c r="A422" s="208">
        <f t="shared" si="9"/>
        <v>71.966666666666669</v>
      </c>
      <c r="B422" s="208">
        <f>YEAR(Data_NFI_t[[#This Row],[Distribution Date]])</f>
        <v>2013</v>
      </c>
      <c r="C422" s="719">
        <v>41275</v>
      </c>
      <c r="D422" s="395" t="s">
        <v>476</v>
      </c>
      <c r="E422" s="394" t="s">
        <v>476</v>
      </c>
      <c r="F422" s="395" t="s">
        <v>7</v>
      </c>
      <c r="G422" s="646" t="s">
        <v>17</v>
      </c>
      <c r="H422" s="646" t="s">
        <v>59</v>
      </c>
      <c r="I422" s="646">
        <v>20</v>
      </c>
      <c r="J422" s="646"/>
      <c r="K422" s="646"/>
      <c r="L422" s="42"/>
      <c r="M422" s="42"/>
      <c r="N422" s="42"/>
      <c r="O422" s="42"/>
      <c r="P422" s="42"/>
      <c r="Q422" s="42"/>
      <c r="R422" s="42"/>
      <c r="S422" s="42"/>
      <c r="T422" s="410"/>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55">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09">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09">
        <f>IF(NFI_Expiration=1,IF($A422&lt;VLOOKUP(X$5,NFI,5,0),1,0)*Data_NFI_t[[#This Row],[Solar Lantern]],0)</f>
        <v>0</v>
      </c>
      <c r="AT422" s="105" t="str">
        <f ca="1">IFERROR(OFFSET(Camp_List[P_Code],MATCH(Data_NFI_t[[#This Row],[Camp Name]],Camp_List[Camp Name],0)-1,0,1,1),"")</f>
        <v>MMR012CMP039</v>
      </c>
      <c r="AU422" s="412" t="str">
        <f ca="1">IFERROR(OFFSET(Camp_List[Status],MATCH(Data_NFI_t[[#This Row],[Camp Name]],Camp_List[Camp Name],0)-1,0,1,1),"")</f>
        <v>Open</v>
      </c>
      <c r="AV422" s="105"/>
    </row>
    <row r="423" spans="1:48" s="78" customFormat="1" ht="19.5" customHeight="1" x14ac:dyDescent="0.25">
      <c r="A423" s="208">
        <f t="shared" si="9"/>
        <v>71.966666666666669</v>
      </c>
      <c r="B423" s="208">
        <f>YEAR(Data_NFI_t[[#This Row],[Distribution Date]])</f>
        <v>2013</v>
      </c>
      <c r="C423" s="719">
        <v>41275</v>
      </c>
      <c r="D423" s="395" t="s">
        <v>1016</v>
      </c>
      <c r="E423" s="394" t="s">
        <v>277</v>
      </c>
      <c r="F423" s="395" t="s">
        <v>7</v>
      </c>
      <c r="G423" s="646" t="s">
        <v>17</v>
      </c>
      <c r="H423" s="646" t="s">
        <v>60</v>
      </c>
      <c r="I423" s="646">
        <v>4390</v>
      </c>
      <c r="J423" s="646"/>
      <c r="K423" s="646"/>
      <c r="L423" s="42"/>
      <c r="M423" s="42"/>
      <c r="N423" s="42"/>
      <c r="O423" s="42"/>
      <c r="P423" s="42"/>
      <c r="Q423" s="42"/>
      <c r="R423" s="42"/>
      <c r="S423" s="42"/>
      <c r="T423" s="410"/>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55">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09">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09">
        <f>IF(NFI_Expiration=1,IF($A423&lt;VLOOKUP(X$5,NFI,5,0),1,0)*Data_NFI_t[[#This Row],[Solar Lantern]],0)</f>
        <v>0</v>
      </c>
      <c r="AT423" s="105" t="str">
        <f ca="1">IFERROR(OFFSET(Camp_List[P_Code],MATCH(Data_NFI_t[[#This Row],[Camp Name]],Camp_List[Camp Name],0)-1,0,1,1),"")</f>
        <v>MMR012CMP040</v>
      </c>
      <c r="AU423" s="412" t="str">
        <f ca="1">IFERROR(OFFSET(Camp_List[Status],MATCH(Data_NFI_t[[#This Row],[Camp Name]],Camp_List[Camp Name],0)-1,0,1,1),"")</f>
        <v>Close</v>
      </c>
      <c r="AV423" s="105"/>
    </row>
    <row r="424" spans="1:48" s="78" customFormat="1" ht="19.5" customHeight="1" x14ac:dyDescent="0.25">
      <c r="A424" s="208">
        <f t="shared" si="9"/>
        <v>71.966666666666669</v>
      </c>
      <c r="B424" s="208">
        <f>YEAR(Data_NFI_t[[#This Row],[Distribution Date]])</f>
        <v>2013</v>
      </c>
      <c r="C424" s="719">
        <v>41275</v>
      </c>
      <c r="D424" s="395" t="s">
        <v>1016</v>
      </c>
      <c r="E424" s="394" t="s">
        <v>277</v>
      </c>
      <c r="F424" s="395" t="s">
        <v>7</v>
      </c>
      <c r="G424" s="646" t="s">
        <v>17</v>
      </c>
      <c r="H424" s="646" t="s">
        <v>61</v>
      </c>
      <c r="I424" s="646">
        <v>3758</v>
      </c>
      <c r="J424" s="646"/>
      <c r="K424" s="646"/>
      <c r="L424" s="42"/>
      <c r="M424" s="42"/>
      <c r="N424" s="42"/>
      <c r="O424" s="42"/>
      <c r="P424" s="42"/>
      <c r="Q424" s="42"/>
      <c r="R424" s="42"/>
      <c r="S424" s="42"/>
      <c r="T424" s="410"/>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55">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09">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09">
        <f>IF(NFI_Expiration=1,IF($A424&lt;VLOOKUP(X$5,NFI,5,0),1,0)*Data_NFI_t[[#This Row],[Solar Lantern]],0)</f>
        <v>0</v>
      </c>
      <c r="AT424" s="105" t="str">
        <f ca="1">IFERROR(OFFSET(Camp_List[P_Code],MATCH(Data_NFI_t[[#This Row],[Camp Name]],Camp_List[Camp Name],0)-1,0,1,1),"")</f>
        <v>MMR012CMP041</v>
      </c>
      <c r="AU424" s="412" t="str">
        <f ca="1">IFERROR(OFFSET(Camp_List[Status],MATCH(Data_NFI_t[[#This Row],[Camp Name]],Camp_List[Camp Name],0)-1,0,1,1),"")</f>
        <v>Open</v>
      </c>
      <c r="AV424" s="105"/>
    </row>
    <row r="425" spans="1:48" s="78" customFormat="1" ht="19.5" customHeight="1" x14ac:dyDescent="0.25">
      <c r="A425" s="208">
        <f t="shared" si="9"/>
        <v>71.966666666666669</v>
      </c>
      <c r="B425" s="208">
        <f>YEAR(Data_NFI_t[[#This Row],[Distribution Date]])</f>
        <v>2013</v>
      </c>
      <c r="C425" s="719">
        <v>41275</v>
      </c>
      <c r="D425" s="395" t="s">
        <v>476</v>
      </c>
      <c r="E425" s="394" t="s">
        <v>476</v>
      </c>
      <c r="F425" s="395" t="s">
        <v>7</v>
      </c>
      <c r="G425" s="646" t="s">
        <v>17</v>
      </c>
      <c r="H425" s="646" t="s">
        <v>62</v>
      </c>
      <c r="I425" s="646">
        <v>722</v>
      </c>
      <c r="J425" s="646"/>
      <c r="K425" s="646"/>
      <c r="L425" s="42"/>
      <c r="M425" s="42"/>
      <c r="N425" s="42"/>
      <c r="O425" s="42"/>
      <c r="P425" s="42"/>
      <c r="Q425" s="42"/>
      <c r="R425" s="42"/>
      <c r="S425" s="42"/>
      <c r="T425" s="410"/>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55">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09">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09">
        <f>IF(NFI_Expiration=1,IF($A425&lt;VLOOKUP(X$5,NFI,5,0),1,0)*Data_NFI_t[[#This Row],[Solar Lantern]],0)</f>
        <v>0</v>
      </c>
      <c r="AT425" s="105" t="str">
        <f ca="1">IFERROR(OFFSET(Camp_List[P_Code],MATCH(Data_NFI_t[[#This Row],[Camp Name]],Camp_List[Camp Name],0)-1,0,1,1),"")</f>
        <v/>
      </c>
      <c r="AU425" s="412" t="str">
        <f ca="1">IFERROR(OFFSET(Camp_List[Status],MATCH(Data_NFI_t[[#This Row],[Camp Name]],Camp_List[Camp Name],0)-1,0,1,1),"")</f>
        <v/>
      </c>
      <c r="AV425" s="105"/>
    </row>
    <row r="426" spans="1:48" s="78" customFormat="1" ht="19.5" customHeight="1" x14ac:dyDescent="0.25">
      <c r="A426" s="208">
        <f t="shared" si="9"/>
        <v>71.966666666666669</v>
      </c>
      <c r="B426" s="208">
        <f>YEAR(Data_NFI_t[[#This Row],[Distribution Date]])</f>
        <v>2013</v>
      </c>
      <c r="C426" s="719">
        <v>41275</v>
      </c>
      <c r="D426" s="395" t="s">
        <v>475</v>
      </c>
      <c r="E426" s="394" t="s">
        <v>475</v>
      </c>
      <c r="F426" s="395" t="s">
        <v>7</v>
      </c>
      <c r="G426" s="646" t="s">
        <v>17</v>
      </c>
      <c r="H426" s="646" t="s">
        <v>74</v>
      </c>
      <c r="I426" s="646">
        <v>80</v>
      </c>
      <c r="J426" s="646"/>
      <c r="K426" s="646"/>
      <c r="L426" s="42"/>
      <c r="M426" s="42"/>
      <c r="N426" s="42"/>
      <c r="O426" s="42"/>
      <c r="P426" s="42"/>
      <c r="Q426" s="42"/>
      <c r="R426" s="42"/>
      <c r="S426" s="42"/>
      <c r="T426" s="410"/>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55">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09">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09">
        <f>IF(NFI_Expiration=1,IF($A426&lt;VLOOKUP(X$5,NFI,5,0),1,0)*Data_NFI_t[[#This Row],[Solar Lantern]],0)</f>
        <v>0</v>
      </c>
      <c r="AT426" s="105" t="str">
        <f ca="1">IFERROR(OFFSET(Camp_List[P_Code],MATCH(Data_NFI_t[[#This Row],[Camp Name]],Camp_List[Camp Name],0)-1,0,1,1),"")</f>
        <v>MMR012CMP093</v>
      </c>
      <c r="AU426" s="412" t="str">
        <f ca="1">IFERROR(OFFSET(Camp_List[Status],MATCH(Data_NFI_t[[#This Row],[Camp Name]],Camp_List[Camp Name],0)-1,0,1,1),"")</f>
        <v>Relocated</v>
      </c>
      <c r="AV426" s="105"/>
    </row>
    <row r="427" spans="1:48" s="78" customFormat="1" ht="19.5" customHeight="1" x14ac:dyDescent="0.25">
      <c r="A427" s="208">
        <f t="shared" si="9"/>
        <v>71.966666666666669</v>
      </c>
      <c r="B427" s="208">
        <f>YEAR(Data_NFI_t[[#This Row],[Distribution Date]])</f>
        <v>2013</v>
      </c>
      <c r="C427" s="719">
        <v>41275</v>
      </c>
      <c r="D427" s="395" t="s">
        <v>475</v>
      </c>
      <c r="E427" s="394" t="s">
        <v>475</v>
      </c>
      <c r="F427" s="395" t="s">
        <v>7</v>
      </c>
      <c r="G427" s="646" t="s">
        <v>11</v>
      </c>
      <c r="H427" s="646" t="s">
        <v>33</v>
      </c>
      <c r="I427" s="646">
        <v>50</v>
      </c>
      <c r="J427" s="646"/>
      <c r="K427" s="646"/>
      <c r="L427" s="42"/>
      <c r="M427" s="42"/>
      <c r="N427" s="42"/>
      <c r="O427" s="42"/>
      <c r="P427" s="42"/>
      <c r="Q427" s="42"/>
      <c r="R427" s="42"/>
      <c r="S427" s="42"/>
      <c r="T427" s="410"/>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55">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09">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09">
        <f>IF(NFI_Expiration=1,IF($A427&lt;VLOOKUP(X$5,NFI,5,0),1,0)*Data_NFI_t[[#This Row],[Solar Lantern]],0)</f>
        <v>0</v>
      </c>
      <c r="AT427" s="105" t="str">
        <f ca="1">IFERROR(OFFSET(Camp_List[P_Code],MATCH(Data_NFI_t[[#This Row],[Camp Name]],Camp_List[Camp Name],0)-1,0,1,1),"")</f>
        <v>MMR012CMP011</v>
      </c>
      <c r="AU427" s="412" t="str">
        <f ca="1">IFERROR(OFFSET(Camp_List[Status],MATCH(Data_NFI_t[[#This Row],[Camp Name]],Camp_List[Camp Name],0)-1,0,1,1),"")</f>
        <v>Close</v>
      </c>
      <c r="AV427" s="105"/>
    </row>
    <row r="428" spans="1:48" s="78" customFormat="1" ht="19.5" customHeight="1" x14ac:dyDescent="0.25">
      <c r="A428" s="208">
        <f t="shared" si="9"/>
        <v>71.966666666666669</v>
      </c>
      <c r="B428" s="208">
        <f>YEAR(Data_NFI_t[[#This Row],[Distribution Date]])</f>
        <v>2013</v>
      </c>
      <c r="C428" s="719">
        <v>41275</v>
      </c>
      <c r="D428" s="395" t="s">
        <v>475</v>
      </c>
      <c r="E428" s="394" t="s">
        <v>475</v>
      </c>
      <c r="F428" s="395" t="s">
        <v>7</v>
      </c>
      <c r="G428" s="646" t="s">
        <v>17</v>
      </c>
      <c r="H428" s="646" t="s">
        <v>76</v>
      </c>
      <c r="I428" s="646">
        <v>220</v>
      </c>
      <c r="J428" s="646"/>
      <c r="K428" s="646"/>
      <c r="L428" s="42"/>
      <c r="M428" s="42"/>
      <c r="N428" s="42"/>
      <c r="O428" s="42"/>
      <c r="P428" s="42"/>
      <c r="Q428" s="42"/>
      <c r="R428" s="42"/>
      <c r="S428" s="42"/>
      <c r="T428" s="410"/>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55">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09">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09">
        <f>IF(NFI_Expiration=1,IF($A428&lt;VLOOKUP(X$5,NFI,5,0),1,0)*Data_NFI_t[[#This Row],[Solar Lantern]],0)</f>
        <v>0</v>
      </c>
      <c r="AT428" s="105" t="str">
        <f ca="1">IFERROR(OFFSET(Camp_List[P_Code],MATCH(Data_NFI_t[[#This Row],[Camp Name]],Camp_List[Camp Name],0)-1,0,1,1),"")</f>
        <v>MMR012CMP056</v>
      </c>
      <c r="AU428" s="412" t="str">
        <f ca="1">IFERROR(OFFSET(Camp_List[Status],MATCH(Data_NFI_t[[#This Row],[Camp Name]],Camp_List[Camp Name],0)-1,0,1,1),"")</f>
        <v>Relocated</v>
      </c>
      <c r="AV428" s="105"/>
    </row>
    <row r="429" spans="1:48" s="78" customFormat="1" ht="19.5" customHeight="1" x14ac:dyDescent="0.25">
      <c r="A429" s="208">
        <f t="shared" si="9"/>
        <v>71.966666666666669</v>
      </c>
      <c r="B429" s="208">
        <f>YEAR(Data_NFI_t[[#This Row],[Distribution Date]])</f>
        <v>2013</v>
      </c>
      <c r="C429" s="719">
        <v>41275</v>
      </c>
      <c r="D429" s="395" t="s">
        <v>1016</v>
      </c>
      <c r="E429" s="394" t="s">
        <v>277</v>
      </c>
      <c r="F429" s="395" t="s">
        <v>7</v>
      </c>
      <c r="G429" s="646" t="s">
        <v>17</v>
      </c>
      <c r="H429" s="646" t="s">
        <v>76</v>
      </c>
      <c r="I429" s="646">
        <v>220</v>
      </c>
      <c r="J429" s="646"/>
      <c r="K429" s="646"/>
      <c r="L429" s="42"/>
      <c r="M429" s="42"/>
      <c r="N429" s="42"/>
      <c r="O429" s="42"/>
      <c r="P429" s="42"/>
      <c r="Q429" s="42"/>
      <c r="R429" s="42"/>
      <c r="S429" s="42"/>
      <c r="T429" s="410"/>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55">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09">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09">
        <f>IF(NFI_Expiration=1,IF($A429&lt;VLOOKUP(X$5,NFI,5,0),1,0)*Data_NFI_t[[#This Row],[Solar Lantern]],0)</f>
        <v>0</v>
      </c>
      <c r="AT429" s="105" t="str">
        <f ca="1">IFERROR(OFFSET(Camp_List[P_Code],MATCH(Data_NFI_t[[#This Row],[Camp Name]],Camp_List[Camp Name],0)-1,0,1,1),"")</f>
        <v>MMR012CMP056</v>
      </c>
      <c r="AU429" s="412" t="str">
        <f ca="1">IFERROR(OFFSET(Camp_List[Status],MATCH(Data_NFI_t[[#This Row],[Camp Name]],Camp_List[Camp Name],0)-1,0,1,1),"")</f>
        <v>Relocated</v>
      </c>
      <c r="AV429" s="105"/>
    </row>
    <row r="430" spans="1:48" s="78" customFormat="1" ht="19.5" customHeight="1" x14ac:dyDescent="0.25">
      <c r="A430" s="208">
        <f t="shared" si="9"/>
        <v>71.966666666666669</v>
      </c>
      <c r="B430" s="208">
        <f>YEAR(Data_NFI_t[[#This Row],[Distribution Date]])</f>
        <v>2013</v>
      </c>
      <c r="C430" s="719">
        <v>41275</v>
      </c>
      <c r="D430" s="395" t="s">
        <v>1016</v>
      </c>
      <c r="E430" s="394" t="s">
        <v>277</v>
      </c>
      <c r="F430" s="395" t="s">
        <v>7</v>
      </c>
      <c r="G430" s="646" t="s">
        <v>17</v>
      </c>
      <c r="H430" s="646" t="s">
        <v>66</v>
      </c>
      <c r="I430" s="646">
        <v>2939</v>
      </c>
      <c r="J430" s="646"/>
      <c r="K430" s="646"/>
      <c r="L430" s="42"/>
      <c r="M430" s="42"/>
      <c r="N430" s="42"/>
      <c r="O430" s="42"/>
      <c r="P430" s="42"/>
      <c r="Q430" s="42"/>
      <c r="R430" s="42"/>
      <c r="S430" s="42"/>
      <c r="T430" s="410"/>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55">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09">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09">
        <f>IF(NFI_Expiration=1,IF($A430&lt;VLOOKUP(X$5,NFI,5,0),1,0)*Data_NFI_t[[#This Row],[Solar Lantern]],0)</f>
        <v>0</v>
      </c>
      <c r="AT430" s="105" t="str">
        <f ca="1">IFERROR(OFFSET(Camp_List[P_Code],MATCH(Data_NFI_t[[#This Row],[Camp Name]],Camp_List[Camp Name],0)-1,0,1,1),"")</f>
        <v>MMR012CMP046</v>
      </c>
      <c r="AU430" s="412" t="str">
        <f ca="1">IFERROR(OFFSET(Camp_List[Status],MATCH(Data_NFI_t[[#This Row],[Camp Name]],Camp_List[Camp Name],0)-1,0,1,1),"")</f>
        <v>Open</v>
      </c>
      <c r="AV430" s="105"/>
    </row>
    <row r="431" spans="1:48" s="78" customFormat="1" ht="19.5" customHeight="1" x14ac:dyDescent="0.25">
      <c r="A431" s="208">
        <f t="shared" si="9"/>
        <v>72.233333333333334</v>
      </c>
      <c r="B431" s="208">
        <f>YEAR(Data_NFI_t[[#This Row],[Distribution Date]])</f>
        <v>2012</v>
      </c>
      <c r="C431" s="719">
        <v>41267</v>
      </c>
      <c r="D431" s="395" t="s">
        <v>270</v>
      </c>
      <c r="E431" s="394"/>
      <c r="F431" s="395" t="s">
        <v>7</v>
      </c>
      <c r="G431" s="646" t="s">
        <v>13</v>
      </c>
      <c r="H431" s="646" t="s">
        <v>38</v>
      </c>
      <c r="I431" s="646"/>
      <c r="J431" s="646"/>
      <c r="K431" s="646"/>
      <c r="L431" s="42"/>
      <c r="M431" s="42"/>
      <c r="N431" s="42"/>
      <c r="O431" s="42">
        <v>758</v>
      </c>
      <c r="P431" s="42"/>
      <c r="Q431" s="42"/>
      <c r="R431" s="42"/>
      <c r="S431" s="42"/>
      <c r="T431" s="410"/>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55">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09">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09">
        <f>IF(NFI_Expiration=1,IF($A431&lt;VLOOKUP(X$5,NFI,5,0),1,0)*Data_NFI_t[[#This Row],[Solar Lantern]],0)</f>
        <v>0</v>
      </c>
      <c r="AT431" s="105" t="str">
        <f ca="1">IFERROR(OFFSET(Camp_List[P_Code],MATCH(Data_NFI_t[[#This Row],[Camp Name]],Camp_List[Camp Name],0)-1,0,1,1),"")</f>
        <v>MMR012CMP016</v>
      </c>
      <c r="AU431" s="412" t="str">
        <f ca="1">IFERROR(OFFSET(Camp_List[Status],MATCH(Data_NFI_t[[#This Row],[Camp Name]],Camp_List[Camp Name],0)-1,0,1,1),"")</f>
        <v>Open</v>
      </c>
      <c r="AV431" s="105"/>
    </row>
    <row r="432" spans="1:48" s="78" customFormat="1" ht="19.5" customHeight="1" x14ac:dyDescent="0.25">
      <c r="A432" s="208">
        <f t="shared" si="9"/>
        <v>72.233333333333334</v>
      </c>
      <c r="B432" s="208">
        <f>YEAR(Data_NFI_t[[#This Row],[Distribution Date]])</f>
        <v>2012</v>
      </c>
      <c r="C432" s="719">
        <v>41267</v>
      </c>
      <c r="D432" s="395" t="s">
        <v>270</v>
      </c>
      <c r="E432" s="394"/>
      <c r="F432" s="395" t="s">
        <v>7</v>
      </c>
      <c r="G432" s="646" t="s">
        <v>13</v>
      </c>
      <c r="H432" s="646" t="s">
        <v>39</v>
      </c>
      <c r="I432" s="646"/>
      <c r="J432" s="646"/>
      <c r="K432" s="646"/>
      <c r="L432" s="42"/>
      <c r="M432" s="42"/>
      <c r="N432" s="42"/>
      <c r="O432" s="42">
        <v>1306</v>
      </c>
      <c r="P432" s="42"/>
      <c r="Q432" s="42"/>
      <c r="R432" s="42"/>
      <c r="S432" s="42"/>
      <c r="T432" s="410"/>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55">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09">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09">
        <f>IF(NFI_Expiration=1,IF($A432&lt;VLOOKUP(X$5,NFI,5,0),1,0)*Data_NFI_t[[#This Row],[Solar Lantern]],0)</f>
        <v>0</v>
      </c>
      <c r="AT432" s="105" t="str">
        <f ca="1">IFERROR(OFFSET(Camp_List[P_Code],MATCH(Data_NFI_t[[#This Row],[Camp Name]],Camp_List[Camp Name],0)-1,0,1,1),"")</f>
        <v/>
      </c>
      <c r="AU432" s="412" t="str">
        <f ca="1">IFERROR(OFFSET(Camp_List[Status],MATCH(Data_NFI_t[[#This Row],[Camp Name]],Camp_List[Camp Name],0)-1,0,1,1),"")</f>
        <v/>
      </c>
      <c r="AV432" s="105"/>
    </row>
    <row r="433" spans="1:48" s="78" customFormat="1" ht="19.5" customHeight="1" x14ac:dyDescent="0.25">
      <c r="A433" s="208">
        <f t="shared" si="9"/>
        <v>72.233333333333334</v>
      </c>
      <c r="B433" s="208">
        <f>YEAR(Data_NFI_t[[#This Row],[Distribution Date]])</f>
        <v>2012</v>
      </c>
      <c r="C433" s="719">
        <v>41267</v>
      </c>
      <c r="D433" s="395" t="s">
        <v>270</v>
      </c>
      <c r="E433" s="394"/>
      <c r="F433" s="395" t="s">
        <v>7</v>
      </c>
      <c r="G433" s="646" t="s">
        <v>13</v>
      </c>
      <c r="H433" s="646" t="s">
        <v>41</v>
      </c>
      <c r="I433" s="646"/>
      <c r="J433" s="646"/>
      <c r="K433" s="646"/>
      <c r="L433" s="42"/>
      <c r="M433" s="42"/>
      <c r="N433" s="42"/>
      <c r="O433" s="42">
        <v>796</v>
      </c>
      <c r="P433" s="42"/>
      <c r="Q433" s="42"/>
      <c r="R433" s="42"/>
      <c r="S433" s="42"/>
      <c r="T433" s="410"/>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55">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09">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09">
        <f>IF(NFI_Expiration=1,IF($A433&lt;VLOOKUP(X$5,NFI,5,0),1,0)*Data_NFI_t[[#This Row],[Solar Lantern]],0)</f>
        <v>0</v>
      </c>
      <c r="AT433" s="105" t="str">
        <f ca="1">IFERROR(OFFSET(Camp_List[P_Code],MATCH(Data_NFI_t[[#This Row],[Camp Name]],Camp_List[Camp Name],0)-1,0,1,1),"")</f>
        <v>MMR012CMP019</v>
      </c>
      <c r="AU433" s="412" t="str">
        <f ca="1">IFERROR(OFFSET(Camp_List[Status],MATCH(Data_NFI_t[[#This Row],[Camp Name]],Camp_List[Camp Name],0)-1,0,1,1),"")</f>
        <v>Open</v>
      </c>
      <c r="AV433" s="105"/>
    </row>
    <row r="434" spans="1:48" s="78" customFormat="1" ht="19.5" customHeight="1" x14ac:dyDescent="0.25">
      <c r="A434" s="208">
        <f t="shared" si="9"/>
        <v>72.266666666666666</v>
      </c>
      <c r="B434" s="208">
        <f>YEAR(Data_NFI_t[[#This Row],[Distribution Date]])</f>
        <v>2012</v>
      </c>
      <c r="C434" s="719">
        <v>41266</v>
      </c>
      <c r="D434" s="395" t="s">
        <v>270</v>
      </c>
      <c r="E434" s="394"/>
      <c r="F434" s="395" t="s">
        <v>7</v>
      </c>
      <c r="G434" s="646" t="s">
        <v>18</v>
      </c>
      <c r="H434" s="646"/>
      <c r="I434" s="646"/>
      <c r="J434" s="646"/>
      <c r="K434" s="646"/>
      <c r="L434" s="42"/>
      <c r="M434" s="42">
        <v>3000</v>
      </c>
      <c r="N434" s="42"/>
      <c r="O434" s="42"/>
      <c r="P434" s="42"/>
      <c r="Q434" s="42"/>
      <c r="R434" s="42"/>
      <c r="S434" s="42"/>
      <c r="T434" s="410"/>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55">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09">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09">
        <f>IF(NFI_Expiration=1,IF($A434&lt;VLOOKUP(X$5,NFI,5,0),1,0)*Data_NFI_t[[#This Row],[Solar Lantern]],0)</f>
        <v>0</v>
      </c>
      <c r="AT434" s="105" t="str">
        <f ca="1">IFERROR(OFFSET(Camp_List[P_Code],MATCH(Data_NFI_t[[#This Row],[Camp Name]],Camp_List[Camp Name],0)-1,0,1,1),"")</f>
        <v/>
      </c>
      <c r="AU434" s="412" t="str">
        <f ca="1">IFERROR(OFFSET(Camp_List[Status],MATCH(Data_NFI_t[[#This Row],[Camp Name]],Camp_List[Camp Name],0)-1,0,1,1),"")</f>
        <v/>
      </c>
      <c r="AV434" s="105"/>
    </row>
    <row r="435" spans="1:48" s="78" customFormat="1" ht="19.5" customHeight="1" x14ac:dyDescent="0.25">
      <c r="A435" s="208">
        <f t="shared" si="9"/>
        <v>72.266666666666666</v>
      </c>
      <c r="B435" s="208">
        <f>YEAR(Data_NFI_t[[#This Row],[Distribution Date]])</f>
        <v>2012</v>
      </c>
      <c r="C435" s="719">
        <v>41266</v>
      </c>
      <c r="D435" s="395" t="s">
        <v>270</v>
      </c>
      <c r="E435" s="394"/>
      <c r="F435" s="395" t="s">
        <v>7</v>
      </c>
      <c r="G435" s="646" t="s">
        <v>18</v>
      </c>
      <c r="H435" s="646"/>
      <c r="I435" s="646"/>
      <c r="J435" s="646"/>
      <c r="K435" s="646"/>
      <c r="L435" s="42"/>
      <c r="M435" s="42"/>
      <c r="N435" s="42"/>
      <c r="O435" s="42">
        <v>1180</v>
      </c>
      <c r="P435" s="42"/>
      <c r="Q435" s="42"/>
      <c r="R435" s="42"/>
      <c r="S435" s="42"/>
      <c r="T435" s="410"/>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55">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09">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09">
        <f>IF(NFI_Expiration=1,IF($A435&lt;VLOOKUP(X$5,NFI,5,0),1,0)*Data_NFI_t[[#This Row],[Solar Lantern]],0)</f>
        <v>0</v>
      </c>
      <c r="AT435" s="105" t="str">
        <f ca="1">IFERROR(OFFSET(Camp_List[P_Code],MATCH(Data_NFI_t[[#This Row],[Camp Name]],Camp_List[Camp Name],0)-1,0,1,1),"")</f>
        <v/>
      </c>
      <c r="AU435" s="412" t="str">
        <f ca="1">IFERROR(OFFSET(Camp_List[Status],MATCH(Data_NFI_t[[#This Row],[Camp Name]],Camp_List[Camp Name],0)-1,0,1,1),"")</f>
        <v/>
      </c>
      <c r="AV435" s="105"/>
    </row>
    <row r="436" spans="1:48" s="78" customFormat="1" ht="19.5" customHeight="1" x14ac:dyDescent="0.25">
      <c r="A436" s="208">
        <f t="shared" si="9"/>
        <v>72.433333333333337</v>
      </c>
      <c r="B436" s="208">
        <f>YEAR(Data_NFI_t[[#This Row],[Distribution Date]])</f>
        <v>2012</v>
      </c>
      <c r="C436" s="719">
        <v>41261</v>
      </c>
      <c r="D436" s="395" t="s">
        <v>270</v>
      </c>
      <c r="E436" s="394"/>
      <c r="F436" s="395" t="s">
        <v>7</v>
      </c>
      <c r="G436" s="646" t="s">
        <v>14</v>
      </c>
      <c r="H436" s="646" t="s">
        <v>45</v>
      </c>
      <c r="I436" s="646"/>
      <c r="J436" s="646"/>
      <c r="K436" s="646"/>
      <c r="L436" s="42"/>
      <c r="M436" s="42"/>
      <c r="N436" s="42">
        <v>160</v>
      </c>
      <c r="O436" s="42">
        <v>80</v>
      </c>
      <c r="P436" s="42">
        <v>160</v>
      </c>
      <c r="Q436" s="42">
        <v>80</v>
      </c>
      <c r="R436" s="42">
        <v>80</v>
      </c>
      <c r="S436" s="42"/>
      <c r="T436" s="410"/>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55">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09">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09">
        <f>IF(NFI_Expiration=1,IF($A436&lt;VLOOKUP(X$5,NFI,5,0),1,0)*Data_NFI_t[[#This Row],[Solar Lantern]],0)</f>
        <v>0</v>
      </c>
      <c r="AT436" s="105" t="str">
        <f ca="1">IFERROR(OFFSET(Camp_List[P_Code],MATCH(Data_NFI_t[[#This Row],[Camp Name]],Camp_List[Camp Name],0)-1,0,1,1),"")</f>
        <v>MMR012CMP023</v>
      </c>
      <c r="AU436" s="412" t="str">
        <f ca="1">IFERROR(OFFSET(Camp_List[Status],MATCH(Data_NFI_t[[#This Row],[Camp Name]],Camp_List[Camp Name],0)-1,0,1,1),"")</f>
        <v>Open</v>
      </c>
      <c r="AV436" s="105"/>
    </row>
    <row r="437" spans="1:48" s="78" customFormat="1" ht="19.5" customHeight="1" x14ac:dyDescent="0.25">
      <c r="A437" s="208">
        <f t="shared" si="9"/>
        <v>72.433333333333337</v>
      </c>
      <c r="B437" s="208">
        <f>YEAR(Data_NFI_t[[#This Row],[Distribution Date]])</f>
        <v>2012</v>
      </c>
      <c r="C437" s="719">
        <v>41261</v>
      </c>
      <c r="D437" s="395" t="s">
        <v>270</v>
      </c>
      <c r="E437" s="394"/>
      <c r="F437" s="395" t="s">
        <v>7</v>
      </c>
      <c r="G437" s="646" t="s">
        <v>14</v>
      </c>
      <c r="H437" s="646" t="s">
        <v>43</v>
      </c>
      <c r="I437" s="646"/>
      <c r="J437" s="646"/>
      <c r="K437" s="646"/>
      <c r="L437" s="42"/>
      <c r="M437" s="42"/>
      <c r="N437" s="42">
        <v>174</v>
      </c>
      <c r="O437" s="42"/>
      <c r="P437" s="42">
        <v>174</v>
      </c>
      <c r="Q437" s="42"/>
      <c r="R437" s="42"/>
      <c r="S437" s="42"/>
      <c r="T437" s="410"/>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55">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09">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09">
        <f>IF(NFI_Expiration=1,IF($A437&lt;VLOOKUP(X$5,NFI,5,0),1,0)*Data_NFI_t[[#This Row],[Solar Lantern]],0)</f>
        <v>0</v>
      </c>
      <c r="AT437" s="105" t="str">
        <f ca="1">IFERROR(OFFSET(Camp_List[P_Code],MATCH(Data_NFI_t[[#This Row],[Camp Name]],Camp_List[Camp Name],0)-1,0,1,1),"")</f>
        <v>MMR012CMP021</v>
      </c>
      <c r="AU437" s="412" t="str">
        <f ca="1">IFERROR(OFFSET(Camp_List[Status],MATCH(Data_NFI_t[[#This Row],[Camp Name]],Camp_List[Camp Name],0)-1,0,1,1),"")</f>
        <v>Returned</v>
      </c>
      <c r="AV437" s="105"/>
    </row>
    <row r="438" spans="1:48" s="78" customFormat="1" ht="19.5" customHeight="1" x14ac:dyDescent="0.25">
      <c r="A438" s="208">
        <f t="shared" si="9"/>
        <v>72.466666666666669</v>
      </c>
      <c r="B438" s="208">
        <f>YEAR(Data_NFI_t[[#This Row],[Distribution Date]])</f>
        <v>2012</v>
      </c>
      <c r="C438" s="719">
        <v>41260</v>
      </c>
      <c r="D438" s="395" t="s">
        <v>270</v>
      </c>
      <c r="E438" s="394"/>
      <c r="F438" s="395" t="s">
        <v>7</v>
      </c>
      <c r="G438" s="646" t="s">
        <v>814</v>
      </c>
      <c r="H438" s="646" t="s">
        <v>36</v>
      </c>
      <c r="I438" s="646"/>
      <c r="J438" s="646"/>
      <c r="K438" s="646"/>
      <c r="L438" s="42"/>
      <c r="M438" s="42"/>
      <c r="N438" s="42">
        <v>632</v>
      </c>
      <c r="O438" s="42"/>
      <c r="P438" s="42">
        <v>632</v>
      </c>
      <c r="Q438" s="42"/>
      <c r="R438" s="42"/>
      <c r="S438" s="42"/>
      <c r="T438" s="410"/>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55">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09">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09">
        <f>IF(NFI_Expiration=1,IF($A438&lt;VLOOKUP(X$5,NFI,5,0),1,0)*Data_NFI_t[[#This Row],[Solar Lantern]],0)</f>
        <v>0</v>
      </c>
      <c r="AT438" s="105" t="str">
        <f ca="1">IFERROR(OFFSET(Camp_List[P_Code],MATCH(Data_NFI_t[[#This Row],[Camp Name]],Camp_List[Camp Name],0)-1,0,1,1),"")</f>
        <v>MMR012CMP014</v>
      </c>
      <c r="AU438" s="412" t="str">
        <f ca="1">IFERROR(OFFSET(Camp_List[Status],MATCH(Data_NFI_t[[#This Row],[Camp Name]],Camp_List[Camp Name],0)-1,0,1,1),"")</f>
        <v>Open</v>
      </c>
      <c r="AV438" s="105"/>
    </row>
    <row r="439" spans="1:48" s="78" customFormat="1" ht="19.5" customHeight="1" x14ac:dyDescent="0.25">
      <c r="A439" s="208">
        <f t="shared" si="9"/>
        <v>72.466666666666669</v>
      </c>
      <c r="B439" s="208">
        <f>YEAR(Data_NFI_t[[#This Row],[Distribution Date]])</f>
        <v>2012</v>
      </c>
      <c r="C439" s="719">
        <v>41260</v>
      </c>
      <c r="D439" s="395" t="s">
        <v>270</v>
      </c>
      <c r="E439" s="394"/>
      <c r="F439" s="395" t="s">
        <v>7</v>
      </c>
      <c r="G439" s="646" t="s">
        <v>11</v>
      </c>
      <c r="H439" s="646" t="s">
        <v>24</v>
      </c>
      <c r="I439" s="646"/>
      <c r="J439" s="646"/>
      <c r="K439" s="646"/>
      <c r="L439" s="42"/>
      <c r="M439" s="42"/>
      <c r="N439" s="42">
        <v>406</v>
      </c>
      <c r="O439" s="42"/>
      <c r="P439" s="42"/>
      <c r="Q439" s="42"/>
      <c r="R439" s="42"/>
      <c r="S439" s="42"/>
      <c r="T439" s="410"/>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55">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09">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09">
        <f>IF(NFI_Expiration=1,IF($A439&lt;VLOOKUP(X$5,NFI,5,0),1,0)*Data_NFI_t[[#This Row],[Solar Lantern]],0)</f>
        <v>0</v>
      </c>
      <c r="AT439" s="105" t="str">
        <f ca="1">IFERROR(OFFSET(Camp_List[P_Code],MATCH(Data_NFI_t[[#This Row],[Camp Name]],Camp_List[Camp Name],0)-1,0,1,1),"")</f>
        <v>MMR012CMP002</v>
      </c>
      <c r="AU439" s="412" t="str">
        <f ca="1">IFERROR(OFFSET(Camp_List[Status],MATCH(Data_NFI_t[[#This Row],[Camp Name]],Camp_List[Camp Name],0)-1,0,1,1),"")</f>
        <v>Returned</v>
      </c>
      <c r="AV439" s="105"/>
    </row>
    <row r="440" spans="1:48" s="78" customFormat="1" ht="19.5" customHeight="1" x14ac:dyDescent="0.25">
      <c r="A440" s="208">
        <f t="shared" si="9"/>
        <v>72.5</v>
      </c>
      <c r="B440" s="208">
        <f>YEAR(Data_NFI_t[[#This Row],[Distribution Date]])</f>
        <v>2012</v>
      </c>
      <c r="C440" s="719">
        <v>41259</v>
      </c>
      <c r="D440" s="395" t="s">
        <v>274</v>
      </c>
      <c r="E440" s="394" t="s">
        <v>270</v>
      </c>
      <c r="F440" s="395" t="s">
        <v>7</v>
      </c>
      <c r="G440" s="646" t="s">
        <v>17</v>
      </c>
      <c r="H440" s="646" t="s">
        <v>69</v>
      </c>
      <c r="I440" s="646"/>
      <c r="J440" s="646"/>
      <c r="K440" s="646"/>
      <c r="L440" s="42"/>
      <c r="M440" s="42"/>
      <c r="N440" s="42"/>
      <c r="O440" s="42"/>
      <c r="P440" s="42">
        <v>49</v>
      </c>
      <c r="Q440" s="42"/>
      <c r="R440" s="42"/>
      <c r="S440" s="42"/>
      <c r="T440" s="410"/>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55">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09">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09">
        <f>IF(NFI_Expiration=1,IF($A440&lt;VLOOKUP(X$5,NFI,5,0),1,0)*Data_NFI_t[[#This Row],[Solar Lantern]],0)</f>
        <v>0</v>
      </c>
      <c r="AT440" s="105" t="str">
        <f ca="1">IFERROR(OFFSET(Camp_List[P_Code],MATCH(Data_NFI_t[[#This Row],[Camp Name]],Camp_List[Camp Name],0)-1,0,1,1),"")</f>
        <v>MMR012CMP049</v>
      </c>
      <c r="AU440" s="412" t="str">
        <f ca="1">IFERROR(OFFSET(Camp_List[Status],MATCH(Data_NFI_t[[#This Row],[Camp Name]],Camp_List[Camp Name],0)-1,0,1,1),"")</f>
        <v>Close</v>
      </c>
      <c r="AV440" s="105"/>
    </row>
    <row r="441" spans="1:48" s="78" customFormat="1" ht="19.5" customHeight="1" x14ac:dyDescent="0.25">
      <c r="A441" s="208">
        <f t="shared" si="9"/>
        <v>72.5</v>
      </c>
      <c r="B441" s="208">
        <f>YEAR(Data_NFI_t[[#This Row],[Distribution Date]])</f>
        <v>2012</v>
      </c>
      <c r="C441" s="719">
        <v>41259</v>
      </c>
      <c r="D441" s="395" t="s">
        <v>274</v>
      </c>
      <c r="E441" s="394" t="s">
        <v>270</v>
      </c>
      <c r="F441" s="395" t="s">
        <v>7</v>
      </c>
      <c r="G441" s="646" t="s">
        <v>17</v>
      </c>
      <c r="H441" s="646" t="s">
        <v>69</v>
      </c>
      <c r="I441" s="646"/>
      <c r="J441" s="646"/>
      <c r="K441" s="646"/>
      <c r="L441" s="42"/>
      <c r="M441" s="42"/>
      <c r="N441" s="42"/>
      <c r="O441" s="42"/>
      <c r="P441" s="42">
        <v>11</v>
      </c>
      <c r="Q441" s="42"/>
      <c r="R441" s="42"/>
      <c r="S441" s="42"/>
      <c r="T441" s="410"/>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55">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09">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09">
        <f>IF(NFI_Expiration=1,IF($A441&lt;VLOOKUP(X$5,NFI,5,0),1,0)*Data_NFI_t[[#This Row],[Solar Lantern]],0)</f>
        <v>0</v>
      </c>
      <c r="AT441" s="105" t="str">
        <f ca="1">IFERROR(OFFSET(Camp_List[P_Code],MATCH(Data_NFI_t[[#This Row],[Camp Name]],Camp_List[Camp Name],0)-1,0,1,1),"")</f>
        <v>MMR012CMP049</v>
      </c>
      <c r="AU441" s="412" t="str">
        <f ca="1">IFERROR(OFFSET(Camp_List[Status],MATCH(Data_NFI_t[[#This Row],[Camp Name]],Camp_List[Camp Name],0)-1,0,1,1),"")</f>
        <v>Close</v>
      </c>
      <c r="AV441" s="105"/>
    </row>
    <row r="442" spans="1:48" s="78" customFormat="1" ht="19.5" customHeight="1" x14ac:dyDescent="0.25">
      <c r="A442" s="208">
        <f t="shared" si="9"/>
        <v>72.533333333333331</v>
      </c>
      <c r="B442" s="208">
        <f>YEAR(Data_NFI_t[[#This Row],[Distribution Date]])</f>
        <v>2012</v>
      </c>
      <c r="C442" s="719">
        <v>41258</v>
      </c>
      <c r="D442" s="395" t="s">
        <v>270</v>
      </c>
      <c r="E442" s="394"/>
      <c r="F442" s="395" t="s">
        <v>7</v>
      </c>
      <c r="G442" s="646" t="s">
        <v>11</v>
      </c>
      <c r="H442" s="646" t="s">
        <v>28</v>
      </c>
      <c r="I442" s="646"/>
      <c r="J442" s="646"/>
      <c r="K442" s="646"/>
      <c r="L442" s="42"/>
      <c r="M442" s="42"/>
      <c r="N442" s="42">
        <v>172</v>
      </c>
      <c r="O442" s="42"/>
      <c r="P442" s="42"/>
      <c r="Q442" s="42"/>
      <c r="R442" s="42"/>
      <c r="S442" s="42"/>
      <c r="T442" s="410"/>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55">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09">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09">
        <f>IF(NFI_Expiration=1,IF($A442&lt;VLOOKUP(X$5,NFI,5,0),1,0)*Data_NFI_t[[#This Row],[Solar Lantern]],0)</f>
        <v>0</v>
      </c>
      <c r="AT442" s="105" t="str">
        <f ca="1">IFERROR(OFFSET(Camp_List[P_Code],MATCH(Data_NFI_t[[#This Row],[Camp Name]],Camp_List[Camp Name],0)-1,0,1,1),"")</f>
        <v>MMR012CMP006</v>
      </c>
      <c r="AU442" s="412" t="str">
        <f ca="1">IFERROR(OFFSET(Camp_List[Status],MATCH(Data_NFI_t[[#This Row],[Camp Name]],Camp_List[Camp Name],0)-1,0,1,1),"")</f>
        <v>Returned</v>
      </c>
      <c r="AV442" s="105"/>
    </row>
    <row r="443" spans="1:48" s="78" customFormat="1" ht="19.5" customHeight="1" x14ac:dyDescent="0.25">
      <c r="A443" s="208">
        <f t="shared" si="9"/>
        <v>72.533333333333331</v>
      </c>
      <c r="B443" s="208">
        <f>YEAR(Data_NFI_t[[#This Row],[Distribution Date]])</f>
        <v>2012</v>
      </c>
      <c r="C443" s="719">
        <v>41258</v>
      </c>
      <c r="D443" s="395" t="s">
        <v>270</v>
      </c>
      <c r="E443" s="394"/>
      <c r="F443" s="395" t="s">
        <v>7</v>
      </c>
      <c r="G443" s="646" t="s">
        <v>11</v>
      </c>
      <c r="H443" s="646" t="s">
        <v>26</v>
      </c>
      <c r="I443" s="646"/>
      <c r="J443" s="646"/>
      <c r="K443" s="646"/>
      <c r="L443" s="42"/>
      <c r="M443" s="42"/>
      <c r="N443" s="42"/>
      <c r="O443" s="42"/>
      <c r="P443" s="42">
        <v>156</v>
      </c>
      <c r="Q443" s="42"/>
      <c r="R443" s="42"/>
      <c r="S443" s="42"/>
      <c r="T443" s="410"/>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55">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09">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09">
        <f>IF(NFI_Expiration=1,IF($A443&lt;VLOOKUP(X$5,NFI,5,0),1,0)*Data_NFI_t[[#This Row],[Solar Lantern]],0)</f>
        <v>0</v>
      </c>
      <c r="AT443" s="105" t="str">
        <f ca="1">IFERROR(OFFSET(Camp_List[P_Code],MATCH(Data_NFI_t[[#This Row],[Camp Name]],Camp_List[Camp Name],0)-1,0,1,1),"")</f>
        <v>MMR012CMP004</v>
      </c>
      <c r="AU443" s="412" t="str">
        <f ca="1">IFERROR(OFFSET(Camp_List[Status],MATCH(Data_NFI_t[[#This Row],[Camp Name]],Camp_List[Camp Name],0)-1,0,1,1),"")</f>
        <v>Close</v>
      </c>
      <c r="AV443" s="105"/>
    </row>
    <row r="444" spans="1:48" s="78" customFormat="1" ht="19.5" customHeight="1" x14ac:dyDescent="0.25">
      <c r="A444" s="208">
        <f t="shared" si="9"/>
        <v>72.533333333333331</v>
      </c>
      <c r="B444" s="208">
        <f>YEAR(Data_NFI_t[[#This Row],[Distribution Date]])</f>
        <v>2012</v>
      </c>
      <c r="C444" s="719">
        <v>41258</v>
      </c>
      <c r="D444" s="395" t="s">
        <v>270</v>
      </c>
      <c r="E444" s="394"/>
      <c r="F444" s="395" t="s">
        <v>7</v>
      </c>
      <c r="G444" s="646" t="s">
        <v>932</v>
      </c>
      <c r="H444" s="646" t="s">
        <v>31</v>
      </c>
      <c r="I444" s="646"/>
      <c r="J444" s="646"/>
      <c r="K444" s="646"/>
      <c r="L444" s="42"/>
      <c r="M444" s="42"/>
      <c r="N444" s="42">
        <v>240</v>
      </c>
      <c r="O444" s="42"/>
      <c r="P444" s="42"/>
      <c r="Q444" s="42"/>
      <c r="R444" s="42"/>
      <c r="S444" s="42"/>
      <c r="T444" s="410"/>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55">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09">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09">
        <f>IF(NFI_Expiration=1,IF($A444&lt;VLOOKUP(X$5,NFI,5,0),1,0)*Data_NFI_t[[#This Row],[Solar Lantern]],0)</f>
        <v>0</v>
      </c>
      <c r="AT444" s="105" t="str">
        <f ca="1">IFERROR(OFFSET(Camp_List[P_Code],MATCH(Data_NFI_t[[#This Row],[Camp Name]],Camp_List[Camp Name],0)-1,0,1,1),"")</f>
        <v>MMR012CMP009</v>
      </c>
      <c r="AU444" s="412" t="str">
        <f ca="1">IFERROR(OFFSET(Camp_List[Status],MATCH(Data_NFI_t[[#This Row],[Camp Name]],Camp_List[Camp Name],0)-1,0,1,1),"")</f>
        <v>Returned</v>
      </c>
      <c r="AV444" s="105"/>
    </row>
    <row r="445" spans="1:48" s="78" customFormat="1" ht="19.5" customHeight="1" x14ac:dyDescent="0.25">
      <c r="A445" s="208">
        <f t="shared" si="9"/>
        <v>72.533333333333331</v>
      </c>
      <c r="B445" s="208">
        <f>YEAR(Data_NFI_t[[#This Row],[Distribution Date]])</f>
        <v>2012</v>
      </c>
      <c r="C445" s="719">
        <v>41258</v>
      </c>
      <c r="D445" s="395" t="s">
        <v>270</v>
      </c>
      <c r="E445" s="394"/>
      <c r="F445" s="395" t="s">
        <v>7</v>
      </c>
      <c r="G445" s="646" t="s">
        <v>11</v>
      </c>
      <c r="H445" s="646" t="s">
        <v>30</v>
      </c>
      <c r="I445" s="646"/>
      <c r="J445" s="646"/>
      <c r="K445" s="646"/>
      <c r="L445" s="42"/>
      <c r="M445" s="42"/>
      <c r="N445" s="42">
        <v>200</v>
      </c>
      <c r="O445" s="42"/>
      <c r="P445" s="42"/>
      <c r="Q445" s="42"/>
      <c r="R445" s="42"/>
      <c r="S445" s="42"/>
      <c r="T445" s="410"/>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55">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09">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09">
        <f>IF(NFI_Expiration=1,IF($A445&lt;VLOOKUP(X$5,NFI,5,0),1,0)*Data_NFI_t[[#This Row],[Solar Lantern]],0)</f>
        <v>0</v>
      </c>
      <c r="AT445" s="105" t="str">
        <f ca="1">IFERROR(OFFSET(Camp_List[P_Code],MATCH(Data_NFI_t[[#This Row],[Camp Name]],Camp_List[Camp Name],0)-1,0,1,1),"")</f>
        <v>MMR012CMP008</v>
      </c>
      <c r="AU445" s="412" t="str">
        <f ca="1">IFERROR(OFFSET(Camp_List[Status],MATCH(Data_NFI_t[[#This Row],[Camp Name]],Camp_List[Camp Name],0)-1,0,1,1),"")</f>
        <v>Returned</v>
      </c>
      <c r="AV445" s="105"/>
    </row>
    <row r="446" spans="1:48" s="78" customFormat="1" ht="19.5" customHeight="1" x14ac:dyDescent="0.25">
      <c r="A446" s="208">
        <f t="shared" si="9"/>
        <v>72.533333333333331</v>
      </c>
      <c r="B446" s="208">
        <f>YEAR(Data_NFI_t[[#This Row],[Distribution Date]])</f>
        <v>2012</v>
      </c>
      <c r="C446" s="719">
        <v>41258</v>
      </c>
      <c r="D446" s="395" t="s">
        <v>270</v>
      </c>
      <c r="E446" s="394"/>
      <c r="F446" s="395" t="s">
        <v>7</v>
      </c>
      <c r="G446" s="646" t="s">
        <v>11</v>
      </c>
      <c r="H446" s="646" t="s">
        <v>25</v>
      </c>
      <c r="I446" s="646"/>
      <c r="J446" s="646"/>
      <c r="K446" s="646"/>
      <c r="L446" s="42"/>
      <c r="M446" s="42"/>
      <c r="N446" s="42"/>
      <c r="O446" s="42"/>
      <c r="P446" s="42"/>
      <c r="Q446" s="42">
        <v>86</v>
      </c>
      <c r="R446" s="42"/>
      <c r="S446" s="42"/>
      <c r="T446" s="410"/>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55">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09">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09">
        <f>IF(NFI_Expiration=1,IF($A446&lt;VLOOKUP(X$5,NFI,5,0),1,0)*Data_NFI_t[[#This Row],[Solar Lantern]],0)</f>
        <v>0</v>
      </c>
      <c r="AT446" s="105" t="str">
        <f ca="1">IFERROR(OFFSET(Camp_List[P_Code],MATCH(Data_NFI_t[[#This Row],[Camp Name]],Camp_List[Camp Name],0)-1,0,1,1),"")</f>
        <v>MMR012CMP003</v>
      </c>
      <c r="AU446" s="412" t="str">
        <f ca="1">IFERROR(OFFSET(Camp_List[Status],MATCH(Data_NFI_t[[#This Row],[Camp Name]],Camp_List[Camp Name],0)-1,0,1,1),"")</f>
        <v>Returned</v>
      </c>
      <c r="AV446" s="105"/>
    </row>
    <row r="447" spans="1:48" s="78" customFormat="1" ht="19.5" customHeight="1" x14ac:dyDescent="0.25">
      <c r="A447" s="208">
        <f t="shared" si="9"/>
        <v>72.533333333333331</v>
      </c>
      <c r="B447" s="208">
        <f>YEAR(Data_NFI_t[[#This Row],[Distribution Date]])</f>
        <v>2012</v>
      </c>
      <c r="C447" s="719">
        <v>41258</v>
      </c>
      <c r="D447" s="395" t="s">
        <v>270</v>
      </c>
      <c r="E447" s="394"/>
      <c r="F447" s="395" t="s">
        <v>7</v>
      </c>
      <c r="G447" s="646" t="s">
        <v>11</v>
      </c>
      <c r="H447" s="646" t="s">
        <v>24</v>
      </c>
      <c r="I447" s="646"/>
      <c r="J447" s="646"/>
      <c r="K447" s="646"/>
      <c r="L447" s="42"/>
      <c r="M447" s="42"/>
      <c r="N447" s="42"/>
      <c r="O447" s="42"/>
      <c r="P447" s="42">
        <v>406</v>
      </c>
      <c r="Q447" s="42"/>
      <c r="R447" s="42"/>
      <c r="S447" s="42"/>
      <c r="T447" s="410"/>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55">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09">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09">
        <f>IF(NFI_Expiration=1,IF($A447&lt;VLOOKUP(X$5,NFI,5,0),1,0)*Data_NFI_t[[#This Row],[Solar Lantern]],0)</f>
        <v>0</v>
      </c>
      <c r="AT447" s="105" t="str">
        <f ca="1">IFERROR(OFFSET(Camp_List[P_Code],MATCH(Data_NFI_t[[#This Row],[Camp Name]],Camp_List[Camp Name],0)-1,0,1,1),"")</f>
        <v>MMR012CMP002</v>
      </c>
      <c r="AU447" s="412" t="str">
        <f ca="1">IFERROR(OFFSET(Camp_List[Status],MATCH(Data_NFI_t[[#This Row],[Camp Name]],Camp_List[Camp Name],0)-1,0,1,1),"")</f>
        <v>Returned</v>
      </c>
      <c r="AV447" s="105"/>
    </row>
    <row r="448" spans="1:48" s="78" customFormat="1" ht="19.5" customHeight="1" x14ac:dyDescent="0.25">
      <c r="A448" s="208">
        <f t="shared" si="9"/>
        <v>72.566666666666663</v>
      </c>
      <c r="B448" s="208">
        <f>YEAR(Data_NFI_t[[#This Row],[Distribution Date]])</f>
        <v>2012</v>
      </c>
      <c r="C448" s="719">
        <v>41257</v>
      </c>
      <c r="D448" s="395" t="s">
        <v>274</v>
      </c>
      <c r="E448" s="394" t="s">
        <v>270</v>
      </c>
      <c r="F448" s="395" t="s">
        <v>7</v>
      </c>
      <c r="G448" s="646" t="s">
        <v>17</v>
      </c>
      <c r="H448" s="646" t="s">
        <v>69</v>
      </c>
      <c r="I448" s="646"/>
      <c r="J448" s="646"/>
      <c r="K448" s="646"/>
      <c r="L448" s="42"/>
      <c r="M448" s="42"/>
      <c r="N448" s="42"/>
      <c r="O448" s="42"/>
      <c r="P448" s="42">
        <v>55</v>
      </c>
      <c r="Q448" s="42"/>
      <c r="R448" s="42"/>
      <c r="S448" s="42"/>
      <c r="T448" s="410"/>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55">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09">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09">
        <f>IF(NFI_Expiration=1,IF($A448&lt;VLOOKUP(X$5,NFI,5,0),1,0)*Data_NFI_t[[#This Row],[Solar Lantern]],0)</f>
        <v>0</v>
      </c>
      <c r="AT448" s="105" t="str">
        <f ca="1">IFERROR(OFFSET(Camp_List[P_Code],MATCH(Data_NFI_t[[#This Row],[Camp Name]],Camp_List[Camp Name],0)-1,0,1,1),"")</f>
        <v>MMR012CMP049</v>
      </c>
      <c r="AU448" s="412" t="str">
        <f ca="1">IFERROR(OFFSET(Camp_List[Status],MATCH(Data_NFI_t[[#This Row],[Camp Name]],Camp_List[Camp Name],0)-1,0,1,1),"")</f>
        <v>Close</v>
      </c>
      <c r="AV448" s="105"/>
    </row>
    <row r="449" spans="1:48" s="78" customFormat="1" ht="19.5" customHeight="1" x14ac:dyDescent="0.25">
      <c r="A449" s="208">
        <f t="shared" si="9"/>
        <v>72.599999999999994</v>
      </c>
      <c r="B449" s="208">
        <f>YEAR(Data_NFI_t[[#This Row],[Distribution Date]])</f>
        <v>2012</v>
      </c>
      <c r="C449" s="719">
        <v>41256</v>
      </c>
      <c r="D449" s="395" t="s">
        <v>270</v>
      </c>
      <c r="E449" s="394"/>
      <c r="F449" s="395" t="s">
        <v>7</v>
      </c>
      <c r="G449" s="646" t="s">
        <v>14</v>
      </c>
      <c r="H449" s="646" t="s">
        <v>47</v>
      </c>
      <c r="I449" s="646"/>
      <c r="J449" s="646"/>
      <c r="K449" s="646"/>
      <c r="L449" s="42"/>
      <c r="M449" s="42"/>
      <c r="N449" s="42">
        <v>180</v>
      </c>
      <c r="O449" s="42"/>
      <c r="P449" s="42">
        <v>180</v>
      </c>
      <c r="Q449" s="42">
        <v>90</v>
      </c>
      <c r="R449" s="42"/>
      <c r="S449" s="42"/>
      <c r="T449" s="410"/>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55">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09">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09">
        <f>IF(NFI_Expiration=1,IF($A449&lt;VLOOKUP(X$5,NFI,5,0),1,0)*Data_NFI_t[[#This Row],[Solar Lantern]],0)</f>
        <v>0</v>
      </c>
      <c r="AT449" s="105" t="str">
        <f ca="1">IFERROR(OFFSET(Camp_List[P_Code],MATCH(Data_NFI_t[[#This Row],[Camp Name]],Camp_List[Camp Name],0)-1,0,1,1),"")</f>
        <v>MMR012CMP025</v>
      </c>
      <c r="AU449" s="412" t="str">
        <f ca="1">IFERROR(OFFSET(Camp_List[Status],MATCH(Data_NFI_t[[#This Row],[Camp Name]],Camp_List[Camp Name],0)-1,0,1,1),"")</f>
        <v>Returned</v>
      </c>
      <c r="AV449" s="105"/>
    </row>
    <row r="450" spans="1:48" s="78" customFormat="1" ht="19.5" customHeight="1" x14ac:dyDescent="0.25">
      <c r="A450" s="208">
        <f t="shared" si="9"/>
        <v>72.599999999999994</v>
      </c>
      <c r="B450" s="208">
        <f>YEAR(Data_NFI_t[[#This Row],[Distribution Date]])</f>
        <v>2012</v>
      </c>
      <c r="C450" s="719">
        <v>41256</v>
      </c>
      <c r="D450" s="395" t="s">
        <v>270</v>
      </c>
      <c r="E450" s="394"/>
      <c r="F450" s="395" t="s">
        <v>7</v>
      </c>
      <c r="G450" s="646" t="s">
        <v>14</v>
      </c>
      <c r="H450" s="646" t="s">
        <v>46</v>
      </c>
      <c r="I450" s="646"/>
      <c r="J450" s="646"/>
      <c r="K450" s="646"/>
      <c r="L450" s="42"/>
      <c r="M450" s="42"/>
      <c r="N450" s="42"/>
      <c r="O450" s="42"/>
      <c r="P450" s="42"/>
      <c r="Q450" s="42"/>
      <c r="R450" s="42">
        <v>90</v>
      </c>
      <c r="S450" s="42"/>
      <c r="T450" s="410"/>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55">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09">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09">
        <f>IF(NFI_Expiration=1,IF($A450&lt;VLOOKUP(X$5,NFI,5,0),1,0)*Data_NFI_t[[#This Row],[Solar Lantern]],0)</f>
        <v>0</v>
      </c>
      <c r="AT450" s="105" t="str">
        <f ca="1">IFERROR(OFFSET(Camp_List[P_Code],MATCH(Data_NFI_t[[#This Row],[Camp Name]],Camp_List[Camp Name],0)-1,0,1,1),"")</f>
        <v>MMR012CMP024</v>
      </c>
      <c r="AU450" s="412" t="str">
        <f ca="1">IFERROR(OFFSET(Camp_List[Status],MATCH(Data_NFI_t[[#This Row],[Camp Name]],Camp_List[Camp Name],0)-1,0,1,1),"")</f>
        <v>Returned</v>
      </c>
      <c r="AV450" s="105"/>
    </row>
    <row r="451" spans="1:48" s="78" customFormat="1" ht="19.5" customHeight="1" x14ac:dyDescent="0.25">
      <c r="A451" s="208">
        <f t="shared" si="9"/>
        <v>72.599999999999994</v>
      </c>
      <c r="B451" s="208">
        <f>YEAR(Data_NFI_t[[#This Row],[Distribution Date]])</f>
        <v>2012</v>
      </c>
      <c r="C451" s="719">
        <v>41256</v>
      </c>
      <c r="D451" s="395" t="s">
        <v>270</v>
      </c>
      <c r="E451" s="394"/>
      <c r="F451" s="395" t="s">
        <v>7</v>
      </c>
      <c r="G451" s="646" t="s">
        <v>17</v>
      </c>
      <c r="H451" s="646" t="s">
        <v>59</v>
      </c>
      <c r="I451" s="646"/>
      <c r="J451" s="646"/>
      <c r="K451" s="646"/>
      <c r="L451" s="42"/>
      <c r="M451" s="42">
        <v>302</v>
      </c>
      <c r="N451" s="42"/>
      <c r="O451" s="42"/>
      <c r="P451" s="42"/>
      <c r="Q451" s="42"/>
      <c r="R451" s="42"/>
      <c r="S451" s="42"/>
      <c r="T451" s="410"/>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55">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09">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09">
        <f>IF(NFI_Expiration=1,IF($A451&lt;VLOOKUP(X$5,NFI,5,0),1,0)*Data_NFI_t[[#This Row],[Solar Lantern]],0)</f>
        <v>0</v>
      </c>
      <c r="AT451" s="105" t="str">
        <f ca="1">IFERROR(OFFSET(Camp_List[P_Code],MATCH(Data_NFI_t[[#This Row],[Camp Name]],Camp_List[Camp Name],0)-1,0,1,1),"")</f>
        <v>MMR012CMP039</v>
      </c>
      <c r="AU451" s="412" t="str">
        <f ca="1">IFERROR(OFFSET(Camp_List[Status],MATCH(Data_NFI_t[[#This Row],[Camp Name]],Camp_List[Camp Name],0)-1,0,1,1),"")</f>
        <v>Open</v>
      </c>
      <c r="AV451" s="105"/>
    </row>
    <row r="452" spans="1:48" s="78" customFormat="1" ht="19.5" customHeight="1" x14ac:dyDescent="0.25">
      <c r="A452" s="208">
        <f t="shared" si="9"/>
        <v>72.599999999999994</v>
      </c>
      <c r="B452" s="208">
        <f>YEAR(Data_NFI_t[[#This Row],[Distribution Date]])</f>
        <v>2012</v>
      </c>
      <c r="C452" s="719">
        <v>41256</v>
      </c>
      <c r="D452" s="395" t="s">
        <v>270</v>
      </c>
      <c r="E452" s="394"/>
      <c r="F452" s="395" t="s">
        <v>7</v>
      </c>
      <c r="G452" s="646" t="s">
        <v>17</v>
      </c>
      <c r="H452" s="646" t="s">
        <v>60</v>
      </c>
      <c r="I452" s="646"/>
      <c r="J452" s="646"/>
      <c r="K452" s="646"/>
      <c r="L452" s="42"/>
      <c r="M452" s="42">
        <v>2142</v>
      </c>
      <c r="N452" s="42"/>
      <c r="O452" s="42"/>
      <c r="P452" s="42"/>
      <c r="Q452" s="42"/>
      <c r="R452" s="42"/>
      <c r="S452" s="42"/>
      <c r="T452" s="410"/>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55">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09">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09">
        <f>IF(NFI_Expiration=1,IF($A452&lt;VLOOKUP(X$5,NFI,5,0),1,0)*Data_NFI_t[[#This Row],[Solar Lantern]],0)</f>
        <v>0</v>
      </c>
      <c r="AT452" s="105" t="str">
        <f ca="1">IFERROR(OFFSET(Camp_List[P_Code],MATCH(Data_NFI_t[[#This Row],[Camp Name]],Camp_List[Camp Name],0)-1,0,1,1),"")</f>
        <v>MMR012CMP040</v>
      </c>
      <c r="AU452" s="412" t="str">
        <f ca="1">IFERROR(OFFSET(Camp_List[Status],MATCH(Data_NFI_t[[#This Row],[Camp Name]],Camp_List[Camp Name],0)-1,0,1,1),"")</f>
        <v>Close</v>
      </c>
      <c r="AV452" s="105"/>
    </row>
    <row r="453" spans="1:48" s="78" customFormat="1" ht="19.5" customHeight="1" x14ac:dyDescent="0.25">
      <c r="A453" s="208">
        <f t="shared" si="9"/>
        <v>72.599999999999994</v>
      </c>
      <c r="B453" s="208">
        <f>YEAR(Data_NFI_t[[#This Row],[Distribution Date]])</f>
        <v>2012</v>
      </c>
      <c r="C453" s="719">
        <v>41256</v>
      </c>
      <c r="D453" s="395" t="s">
        <v>270</v>
      </c>
      <c r="E453" s="394"/>
      <c r="F453" s="395" t="s">
        <v>7</v>
      </c>
      <c r="G453" s="646" t="s">
        <v>17</v>
      </c>
      <c r="H453" s="646" t="s">
        <v>61</v>
      </c>
      <c r="I453" s="646"/>
      <c r="J453" s="646"/>
      <c r="K453" s="646"/>
      <c r="L453" s="42"/>
      <c r="M453" s="42">
        <v>1707</v>
      </c>
      <c r="N453" s="42"/>
      <c r="O453" s="42"/>
      <c r="P453" s="42"/>
      <c r="Q453" s="42"/>
      <c r="R453" s="42"/>
      <c r="S453" s="42"/>
      <c r="T453" s="410"/>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55">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09">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09">
        <f>IF(NFI_Expiration=1,IF($A453&lt;VLOOKUP(X$5,NFI,5,0),1,0)*Data_NFI_t[[#This Row],[Solar Lantern]],0)</f>
        <v>0</v>
      </c>
      <c r="AT453" s="105" t="str">
        <f ca="1">IFERROR(OFFSET(Camp_List[P_Code],MATCH(Data_NFI_t[[#This Row],[Camp Name]],Camp_List[Camp Name],0)-1,0,1,1),"")</f>
        <v>MMR012CMP041</v>
      </c>
      <c r="AU453" s="412" t="str">
        <f ca="1">IFERROR(OFFSET(Camp_List[Status],MATCH(Data_NFI_t[[#This Row],[Camp Name]],Camp_List[Camp Name],0)-1,0,1,1),"")</f>
        <v>Open</v>
      </c>
      <c r="AV453" s="105"/>
    </row>
    <row r="454" spans="1:48" s="78" customFormat="1" ht="19.5" customHeight="1" x14ac:dyDescent="0.25">
      <c r="A454" s="208">
        <f t="shared" si="9"/>
        <v>72.599999999999994</v>
      </c>
      <c r="B454" s="208">
        <f>YEAR(Data_NFI_t[[#This Row],[Distribution Date]])</f>
        <v>2012</v>
      </c>
      <c r="C454" s="719">
        <v>41256</v>
      </c>
      <c r="D454" s="395" t="s">
        <v>270</v>
      </c>
      <c r="E454" s="394"/>
      <c r="F454" s="395" t="s">
        <v>7</v>
      </c>
      <c r="G454" s="646" t="s">
        <v>14</v>
      </c>
      <c r="H454" s="646" t="s">
        <v>49</v>
      </c>
      <c r="I454" s="646"/>
      <c r="J454" s="646"/>
      <c r="K454" s="646"/>
      <c r="L454" s="42"/>
      <c r="M454" s="42"/>
      <c r="N454" s="42">
        <v>232</v>
      </c>
      <c r="O454" s="42"/>
      <c r="P454" s="42">
        <v>232</v>
      </c>
      <c r="Q454" s="42">
        <v>105</v>
      </c>
      <c r="R454" s="42">
        <v>116</v>
      </c>
      <c r="S454" s="42"/>
      <c r="T454" s="410"/>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55">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09">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09">
        <f>IF(NFI_Expiration=1,IF($A454&lt;VLOOKUP(X$5,NFI,5,0),1,0)*Data_NFI_t[[#This Row],[Solar Lantern]],0)</f>
        <v>0</v>
      </c>
      <c r="AT454" s="105" t="str">
        <f ca="1">IFERROR(OFFSET(Camp_List[P_Code],MATCH(Data_NFI_t[[#This Row],[Camp Name]],Camp_List[Camp Name],0)-1,0,1,1),"")</f>
        <v>MMR012CMP027</v>
      </c>
      <c r="AU454" s="412" t="str">
        <f ca="1">IFERROR(OFFSET(Camp_List[Status],MATCH(Data_NFI_t[[#This Row],[Camp Name]],Camp_List[Camp Name],0)-1,0,1,1),"")</f>
        <v>Returned</v>
      </c>
      <c r="AV454" s="105"/>
    </row>
    <row r="455" spans="1:48" s="78" customFormat="1" ht="19.5" customHeight="1" x14ac:dyDescent="0.25">
      <c r="A455" s="208">
        <f t="shared" si="9"/>
        <v>72.599999999999994</v>
      </c>
      <c r="B455" s="208">
        <f>YEAR(Data_NFI_t[[#This Row],[Distribution Date]])</f>
        <v>2012</v>
      </c>
      <c r="C455" s="719">
        <v>41256</v>
      </c>
      <c r="D455" s="395" t="s">
        <v>270</v>
      </c>
      <c r="E455" s="394"/>
      <c r="F455" s="395" t="s">
        <v>7</v>
      </c>
      <c r="G455" s="646" t="s">
        <v>14</v>
      </c>
      <c r="H455" s="646" t="s">
        <v>48</v>
      </c>
      <c r="I455" s="646"/>
      <c r="J455" s="646"/>
      <c r="K455" s="646"/>
      <c r="L455" s="42"/>
      <c r="M455" s="42"/>
      <c r="N455" s="42">
        <v>460</v>
      </c>
      <c r="O455" s="42"/>
      <c r="P455" s="42">
        <v>460</v>
      </c>
      <c r="Q455" s="42">
        <v>145</v>
      </c>
      <c r="R455" s="42"/>
      <c r="S455" s="42"/>
      <c r="T455" s="410"/>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55">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09">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09">
        <f>IF(NFI_Expiration=1,IF($A455&lt;VLOOKUP(X$5,NFI,5,0),1,0)*Data_NFI_t[[#This Row],[Solar Lantern]],0)</f>
        <v>0</v>
      </c>
      <c r="AT455" s="105" t="str">
        <f ca="1">IFERROR(OFFSET(Camp_List[P_Code],MATCH(Data_NFI_t[[#This Row],[Camp Name]],Camp_List[Camp Name],0)-1,0,1,1),"")</f>
        <v>MMR012CMP026</v>
      </c>
      <c r="AU455" s="412" t="str">
        <f ca="1">IFERROR(OFFSET(Camp_List[Status],MATCH(Data_NFI_t[[#This Row],[Camp Name]],Camp_List[Camp Name],0)-1,0,1,1),"")</f>
        <v>Returned</v>
      </c>
      <c r="AV455" s="105"/>
    </row>
    <row r="456" spans="1:48" s="78" customFormat="1" ht="19.5" customHeight="1" x14ac:dyDescent="0.25">
      <c r="A456" s="208">
        <f t="shared" si="9"/>
        <v>72.599999999999994</v>
      </c>
      <c r="B456" s="208">
        <f>YEAR(Data_NFI_t[[#This Row],[Distribution Date]])</f>
        <v>2012</v>
      </c>
      <c r="C456" s="719">
        <v>41256</v>
      </c>
      <c r="D456" s="395" t="s">
        <v>270</v>
      </c>
      <c r="E456" s="394"/>
      <c r="F456" s="395" t="s">
        <v>7</v>
      </c>
      <c r="G456" s="646" t="s">
        <v>17</v>
      </c>
      <c r="H456" s="646" t="s">
        <v>62</v>
      </c>
      <c r="I456" s="646"/>
      <c r="J456" s="646"/>
      <c r="K456" s="646"/>
      <c r="L456" s="42"/>
      <c r="M456" s="42">
        <v>310</v>
      </c>
      <c r="N456" s="42"/>
      <c r="O456" s="42"/>
      <c r="P456" s="42"/>
      <c r="Q456" s="42"/>
      <c r="R456" s="42"/>
      <c r="S456" s="42"/>
      <c r="T456" s="410"/>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55">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09">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09">
        <f>IF(NFI_Expiration=1,IF($A456&lt;VLOOKUP(X$5,NFI,5,0),1,0)*Data_NFI_t[[#This Row],[Solar Lantern]],0)</f>
        <v>0</v>
      </c>
      <c r="AT456" s="105" t="str">
        <f ca="1">IFERROR(OFFSET(Camp_List[P_Code],MATCH(Data_NFI_t[[#This Row],[Camp Name]],Camp_List[Camp Name],0)-1,0,1,1),"")</f>
        <v/>
      </c>
      <c r="AU456" s="412" t="str">
        <f ca="1">IFERROR(OFFSET(Camp_List[Status],MATCH(Data_NFI_t[[#This Row],[Camp Name]],Camp_List[Camp Name],0)-1,0,1,1),"")</f>
        <v/>
      </c>
      <c r="AV456" s="105"/>
    </row>
    <row r="457" spans="1:48" s="78" customFormat="1" ht="19.5" customHeight="1" x14ac:dyDescent="0.25">
      <c r="A457" s="208">
        <f t="shared" si="9"/>
        <v>72.599999999999994</v>
      </c>
      <c r="B457" s="208">
        <f>YEAR(Data_NFI_t[[#This Row],[Distribution Date]])</f>
        <v>2012</v>
      </c>
      <c r="C457" s="719">
        <v>41256</v>
      </c>
      <c r="D457" s="395" t="s">
        <v>270</v>
      </c>
      <c r="E457" s="394"/>
      <c r="F457" s="395" t="s">
        <v>7</v>
      </c>
      <c r="G457" s="646" t="s">
        <v>14</v>
      </c>
      <c r="H457" s="646" t="s">
        <v>42</v>
      </c>
      <c r="I457" s="646"/>
      <c r="J457" s="646"/>
      <c r="K457" s="646"/>
      <c r="L457" s="42"/>
      <c r="M457" s="42"/>
      <c r="N457" s="42">
        <v>36</v>
      </c>
      <c r="O457" s="42"/>
      <c r="P457" s="42">
        <v>36</v>
      </c>
      <c r="Q457" s="42">
        <v>18</v>
      </c>
      <c r="R457" s="42">
        <v>18</v>
      </c>
      <c r="S457" s="42"/>
      <c r="T457" s="410"/>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55">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09">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09">
        <f>IF(NFI_Expiration=1,IF($A457&lt;VLOOKUP(X$5,NFI,5,0),1,0)*Data_NFI_t[[#This Row],[Solar Lantern]],0)</f>
        <v>0</v>
      </c>
      <c r="AT457" s="105" t="str">
        <f ca="1">IFERROR(OFFSET(Camp_List[P_Code],MATCH(Data_NFI_t[[#This Row],[Camp Name]],Camp_List[Camp Name],0)-1,0,1,1),"")</f>
        <v>MMR012CMP020</v>
      </c>
      <c r="AU457" s="412" t="str">
        <f ca="1">IFERROR(OFFSET(Camp_List[Status],MATCH(Data_NFI_t[[#This Row],[Camp Name]],Camp_List[Camp Name],0)-1,0,1,1),"")</f>
        <v>Returned</v>
      </c>
      <c r="AV457" s="105"/>
    </row>
    <row r="458" spans="1:48" s="78" customFormat="1" ht="19.5" customHeight="1" x14ac:dyDescent="0.25">
      <c r="A458" s="208">
        <f t="shared" si="9"/>
        <v>72.599999999999994</v>
      </c>
      <c r="B458" s="208">
        <f>YEAR(Data_NFI_t[[#This Row],[Distribution Date]])</f>
        <v>2012</v>
      </c>
      <c r="C458" s="719">
        <v>41256</v>
      </c>
      <c r="D458" s="395" t="s">
        <v>270</v>
      </c>
      <c r="E458" s="394"/>
      <c r="F458" s="395" t="s">
        <v>7</v>
      </c>
      <c r="G458" s="646" t="s">
        <v>17</v>
      </c>
      <c r="H458" s="646" t="s">
        <v>63</v>
      </c>
      <c r="I458" s="646"/>
      <c r="J458" s="646"/>
      <c r="K458" s="646"/>
      <c r="L458" s="42"/>
      <c r="M458" s="42">
        <v>65</v>
      </c>
      <c r="N458" s="42"/>
      <c r="O458" s="42"/>
      <c r="P458" s="42"/>
      <c r="Q458" s="42"/>
      <c r="R458" s="42"/>
      <c r="S458" s="42"/>
      <c r="T458" s="410"/>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55">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09">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09">
        <f>IF(NFI_Expiration=1,IF($A458&lt;VLOOKUP(X$5,NFI,5,0),1,0)*Data_NFI_t[[#This Row],[Solar Lantern]],0)</f>
        <v>0</v>
      </c>
      <c r="AT458" s="105" t="str">
        <f ca="1">IFERROR(OFFSET(Camp_List[P_Code],MATCH(Data_NFI_t[[#This Row],[Camp Name]],Camp_List[Camp Name],0)-1,0,1,1),"")</f>
        <v>MMR012CMP043</v>
      </c>
      <c r="AU458" s="412" t="str">
        <f ca="1">IFERROR(OFFSET(Camp_List[Status],MATCH(Data_NFI_t[[#This Row],[Camp Name]],Camp_List[Camp Name],0)-1,0,1,1),"")</f>
        <v>Close</v>
      </c>
      <c r="AV458" s="105"/>
    </row>
    <row r="459" spans="1:48" s="78" customFormat="1" ht="19.5" customHeight="1" x14ac:dyDescent="0.25">
      <c r="A459" s="208">
        <f t="shared" si="9"/>
        <v>72.599999999999994</v>
      </c>
      <c r="B459" s="208">
        <f>YEAR(Data_NFI_t[[#This Row],[Distribution Date]])</f>
        <v>2012</v>
      </c>
      <c r="C459" s="719">
        <v>41256</v>
      </c>
      <c r="D459" s="395" t="s">
        <v>270</v>
      </c>
      <c r="E459" s="394"/>
      <c r="F459" s="395" t="s">
        <v>7</v>
      </c>
      <c r="G459" s="646" t="s">
        <v>11</v>
      </c>
      <c r="H459" s="646" t="s">
        <v>23</v>
      </c>
      <c r="I459" s="646"/>
      <c r="J459" s="646"/>
      <c r="K459" s="646"/>
      <c r="L459" s="42"/>
      <c r="M459" s="42"/>
      <c r="N459" s="42">
        <v>38</v>
      </c>
      <c r="O459" s="42"/>
      <c r="P459" s="42">
        <v>38</v>
      </c>
      <c r="Q459" s="42">
        <v>19</v>
      </c>
      <c r="R459" s="42"/>
      <c r="S459" s="42"/>
      <c r="T459" s="410"/>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55">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09">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09">
        <f>IF(NFI_Expiration=1,IF($A459&lt;VLOOKUP(X$5,NFI,5,0),1,0)*Data_NFI_t[[#This Row],[Solar Lantern]],0)</f>
        <v>0</v>
      </c>
      <c r="AT459" s="105" t="str">
        <f ca="1">IFERROR(OFFSET(Camp_List[P_Code],MATCH(Data_NFI_t[[#This Row],[Camp Name]],Camp_List[Camp Name],0)-1,0,1,1),"")</f>
        <v>MMR012CMP001</v>
      </c>
      <c r="AU459" s="412" t="str">
        <f ca="1">IFERROR(OFFSET(Camp_List[Status],MATCH(Data_NFI_t[[#This Row],[Camp Name]],Camp_List[Camp Name],0)-1,0,1,1),"")</f>
        <v>Returned</v>
      </c>
      <c r="AV459" s="105"/>
    </row>
    <row r="460" spans="1:48" s="78" customFormat="1" ht="19.5" customHeight="1" x14ac:dyDescent="0.25">
      <c r="A460" s="208">
        <f t="shared" si="9"/>
        <v>72.599999999999994</v>
      </c>
      <c r="B460" s="208">
        <f>YEAR(Data_NFI_t[[#This Row],[Distribution Date]])</f>
        <v>2012</v>
      </c>
      <c r="C460" s="719">
        <v>41256</v>
      </c>
      <c r="D460" s="395" t="s">
        <v>270</v>
      </c>
      <c r="E460" s="394"/>
      <c r="F460" s="395" t="s">
        <v>7</v>
      </c>
      <c r="G460" s="646" t="s">
        <v>17</v>
      </c>
      <c r="H460" s="646" t="s">
        <v>64</v>
      </c>
      <c r="I460" s="646"/>
      <c r="J460" s="646"/>
      <c r="K460" s="646"/>
      <c r="L460" s="42"/>
      <c r="M460" s="42">
        <v>374</v>
      </c>
      <c r="N460" s="42"/>
      <c r="O460" s="42"/>
      <c r="P460" s="42"/>
      <c r="Q460" s="42"/>
      <c r="R460" s="42"/>
      <c r="S460" s="42"/>
      <c r="T460" s="410"/>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55">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09">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09">
        <f>IF(NFI_Expiration=1,IF($A460&lt;VLOOKUP(X$5,NFI,5,0),1,0)*Data_NFI_t[[#This Row],[Solar Lantern]],0)</f>
        <v>0</v>
      </c>
      <c r="AT460" s="105" t="str">
        <f ca="1">IFERROR(OFFSET(Camp_List[P_Code],MATCH(Data_NFI_t[[#This Row],[Camp Name]],Camp_List[Camp Name],0)-1,0,1,1),"")</f>
        <v>MMR012CMP044</v>
      </c>
      <c r="AU460" s="412" t="str">
        <f ca="1">IFERROR(OFFSET(Camp_List[Status],MATCH(Data_NFI_t[[#This Row],[Camp Name]],Camp_List[Camp Name],0)-1,0,1,1),"")</f>
        <v>Close</v>
      </c>
      <c r="AV460" s="105"/>
    </row>
    <row r="461" spans="1:48" s="78" customFormat="1" ht="19.5" customHeight="1" x14ac:dyDescent="0.25">
      <c r="A461" s="208">
        <f t="shared" si="9"/>
        <v>72.599999999999994</v>
      </c>
      <c r="B461" s="208">
        <f>YEAR(Data_NFI_t[[#This Row],[Distribution Date]])</f>
        <v>2012</v>
      </c>
      <c r="C461" s="719">
        <v>41256</v>
      </c>
      <c r="D461" s="395" t="s">
        <v>270</v>
      </c>
      <c r="E461" s="394"/>
      <c r="F461" s="395" t="s">
        <v>7</v>
      </c>
      <c r="G461" s="646" t="s">
        <v>17</v>
      </c>
      <c r="H461" s="646" t="s">
        <v>65</v>
      </c>
      <c r="I461" s="646"/>
      <c r="J461" s="646"/>
      <c r="K461" s="646"/>
      <c r="L461" s="42"/>
      <c r="M461" s="42">
        <v>1460</v>
      </c>
      <c r="N461" s="42"/>
      <c r="O461" s="42"/>
      <c r="P461" s="42"/>
      <c r="Q461" s="42"/>
      <c r="R461" s="42"/>
      <c r="S461" s="42"/>
      <c r="T461" s="410"/>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55">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09">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09">
        <f>IF(NFI_Expiration=1,IF($A461&lt;VLOOKUP(X$5,NFI,5,0),1,0)*Data_NFI_t[[#This Row],[Solar Lantern]],0)</f>
        <v>0</v>
      </c>
      <c r="AT461" s="105" t="str">
        <f ca="1">IFERROR(OFFSET(Camp_List[P_Code],MATCH(Data_NFI_t[[#This Row],[Camp Name]],Camp_List[Camp Name],0)-1,0,1,1),"")</f>
        <v>MMR012CMP045</v>
      </c>
      <c r="AU461" s="412" t="str">
        <f ca="1">IFERROR(OFFSET(Camp_List[Status],MATCH(Data_NFI_t[[#This Row],[Camp Name]],Camp_List[Camp Name],0)-1,0,1,1),"")</f>
        <v>Open</v>
      </c>
      <c r="AV461" s="105"/>
    </row>
    <row r="462" spans="1:48" s="78" customFormat="1" ht="19.5" customHeight="1" x14ac:dyDescent="0.25">
      <c r="A462" s="208">
        <f t="shared" si="9"/>
        <v>72.599999999999994</v>
      </c>
      <c r="B462" s="208">
        <f>YEAR(Data_NFI_t[[#This Row],[Distribution Date]])</f>
        <v>2012</v>
      </c>
      <c r="C462" s="719">
        <v>41256</v>
      </c>
      <c r="D462" s="395" t="s">
        <v>270</v>
      </c>
      <c r="E462" s="394"/>
      <c r="F462" s="395" t="s">
        <v>7</v>
      </c>
      <c r="G462" s="646" t="s">
        <v>14</v>
      </c>
      <c r="H462" s="646" t="s">
        <v>51</v>
      </c>
      <c r="I462" s="646"/>
      <c r="J462" s="646"/>
      <c r="K462" s="646"/>
      <c r="L462" s="42"/>
      <c r="M462" s="42"/>
      <c r="N462" s="42">
        <v>290</v>
      </c>
      <c r="O462" s="42"/>
      <c r="P462" s="42"/>
      <c r="Q462" s="42"/>
      <c r="R462" s="42"/>
      <c r="S462" s="42"/>
      <c r="T462" s="410"/>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55">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09">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09">
        <f>IF(NFI_Expiration=1,IF($A462&lt;VLOOKUP(X$5,NFI,5,0),1,0)*Data_NFI_t[[#This Row],[Solar Lantern]],0)</f>
        <v>0</v>
      </c>
      <c r="AT462" s="105" t="str">
        <f ca="1">IFERROR(OFFSET(Camp_List[P_Code],MATCH(Data_NFI_t[[#This Row],[Camp Name]],Camp_List[Camp Name],0)-1,0,1,1),"")</f>
        <v>MMR012CMP029</v>
      </c>
      <c r="AU462" s="412" t="str">
        <f ca="1">IFERROR(OFFSET(Camp_List[Status],MATCH(Data_NFI_t[[#This Row],[Camp Name]],Camp_List[Camp Name],0)-1,0,1,1),"")</f>
        <v>Returned</v>
      </c>
      <c r="AV462" s="105"/>
    </row>
    <row r="463" spans="1:48" s="78" customFormat="1" ht="19.5" customHeight="1" x14ac:dyDescent="0.25">
      <c r="A463" s="208">
        <f t="shared" si="9"/>
        <v>72.599999999999994</v>
      </c>
      <c r="B463" s="208">
        <f>YEAR(Data_NFI_t[[#This Row],[Distribution Date]])</f>
        <v>2012</v>
      </c>
      <c r="C463" s="719">
        <v>41256</v>
      </c>
      <c r="D463" s="395" t="s">
        <v>270</v>
      </c>
      <c r="E463" s="394"/>
      <c r="F463" s="395" t="s">
        <v>7</v>
      </c>
      <c r="G463" s="646" t="s">
        <v>14</v>
      </c>
      <c r="H463" s="646" t="s">
        <v>43</v>
      </c>
      <c r="I463" s="646"/>
      <c r="J463" s="646"/>
      <c r="K463" s="646"/>
      <c r="L463" s="42"/>
      <c r="M463" s="42"/>
      <c r="N463" s="42"/>
      <c r="O463" s="42"/>
      <c r="P463" s="42"/>
      <c r="Q463" s="42">
        <v>87</v>
      </c>
      <c r="R463" s="42"/>
      <c r="S463" s="42"/>
      <c r="T463" s="410"/>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55">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09">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09">
        <f>IF(NFI_Expiration=1,IF($A463&lt;VLOOKUP(X$5,NFI,5,0),1,0)*Data_NFI_t[[#This Row],[Solar Lantern]],0)</f>
        <v>0</v>
      </c>
      <c r="AT463" s="105" t="str">
        <f ca="1">IFERROR(OFFSET(Camp_List[P_Code],MATCH(Data_NFI_t[[#This Row],[Camp Name]],Camp_List[Camp Name],0)-1,0,1,1),"")</f>
        <v>MMR012CMP021</v>
      </c>
      <c r="AU463" s="412" t="str">
        <f ca="1">IFERROR(OFFSET(Camp_List[Status],MATCH(Data_NFI_t[[#This Row],[Camp Name]],Camp_List[Camp Name],0)-1,0,1,1),"")</f>
        <v>Returned</v>
      </c>
      <c r="AV463" s="105"/>
    </row>
    <row r="464" spans="1:48" s="78" customFormat="1" ht="19.5" customHeight="1" x14ac:dyDescent="0.25">
      <c r="A464" s="208">
        <f t="shared" si="9"/>
        <v>72.599999999999994</v>
      </c>
      <c r="B464" s="208">
        <f>YEAR(Data_NFI_t[[#This Row],[Distribution Date]])</f>
        <v>2012</v>
      </c>
      <c r="C464" s="719">
        <v>41256</v>
      </c>
      <c r="D464" s="395" t="s">
        <v>270</v>
      </c>
      <c r="E464" s="394"/>
      <c r="F464" s="395" t="s">
        <v>7</v>
      </c>
      <c r="G464" s="646" t="s">
        <v>11</v>
      </c>
      <c r="H464" s="646" t="s">
        <v>24</v>
      </c>
      <c r="I464" s="646"/>
      <c r="J464" s="646"/>
      <c r="K464" s="646"/>
      <c r="L464" s="42"/>
      <c r="M464" s="42"/>
      <c r="N464" s="42"/>
      <c r="O464" s="42"/>
      <c r="P464" s="42"/>
      <c r="Q464" s="42">
        <v>203</v>
      </c>
      <c r="R464" s="42"/>
      <c r="S464" s="42"/>
      <c r="T464" s="410"/>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55">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09">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09">
        <f>IF(NFI_Expiration=1,IF($A464&lt;VLOOKUP(X$5,NFI,5,0),1,0)*Data_NFI_t[[#This Row],[Solar Lantern]],0)</f>
        <v>0</v>
      </c>
      <c r="AT464" s="105" t="str">
        <f ca="1">IFERROR(OFFSET(Camp_List[P_Code],MATCH(Data_NFI_t[[#This Row],[Camp Name]],Camp_List[Camp Name],0)-1,0,1,1),"")</f>
        <v>MMR012CMP002</v>
      </c>
      <c r="AU464" s="412" t="str">
        <f ca="1">IFERROR(OFFSET(Camp_List[Status],MATCH(Data_NFI_t[[#This Row],[Camp Name]],Camp_List[Camp Name],0)-1,0,1,1),"")</f>
        <v>Returned</v>
      </c>
      <c r="AV464" s="105"/>
    </row>
    <row r="465" spans="1:48" s="78" customFormat="1" ht="19.5" customHeight="1" x14ac:dyDescent="0.25">
      <c r="A465" s="208">
        <f t="shared" si="9"/>
        <v>72.599999999999994</v>
      </c>
      <c r="B465" s="208">
        <f>YEAR(Data_NFI_t[[#This Row],[Distribution Date]])</f>
        <v>2012</v>
      </c>
      <c r="C465" s="719">
        <v>41256</v>
      </c>
      <c r="D465" s="395" t="s">
        <v>270</v>
      </c>
      <c r="E465" s="394"/>
      <c r="F465" s="395" t="s">
        <v>7</v>
      </c>
      <c r="G465" s="646" t="s">
        <v>17</v>
      </c>
      <c r="H465" s="646" t="s">
        <v>66</v>
      </c>
      <c r="I465" s="646"/>
      <c r="J465" s="646"/>
      <c r="K465" s="646"/>
      <c r="L465" s="42"/>
      <c r="M465" s="42">
        <v>2813</v>
      </c>
      <c r="N465" s="42"/>
      <c r="O465" s="42"/>
      <c r="P465" s="42"/>
      <c r="Q465" s="42"/>
      <c r="R465" s="42"/>
      <c r="S465" s="42"/>
      <c r="T465" s="410"/>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55">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09">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09">
        <f>IF(NFI_Expiration=1,IF($A465&lt;VLOOKUP(X$5,NFI,5,0),1,0)*Data_NFI_t[[#This Row],[Solar Lantern]],0)</f>
        <v>0</v>
      </c>
      <c r="AT465" s="105" t="str">
        <f ca="1">IFERROR(OFFSET(Camp_List[P_Code],MATCH(Data_NFI_t[[#This Row],[Camp Name]],Camp_List[Camp Name],0)-1,0,1,1),"")</f>
        <v>MMR012CMP046</v>
      </c>
      <c r="AU465" s="412" t="str">
        <f ca="1">IFERROR(OFFSET(Camp_List[Status],MATCH(Data_NFI_t[[#This Row],[Camp Name]],Camp_List[Camp Name],0)-1,0,1,1),"")</f>
        <v>Open</v>
      </c>
      <c r="AV465" s="105"/>
    </row>
    <row r="466" spans="1:48" s="78" customFormat="1" ht="19.5" customHeight="1" x14ac:dyDescent="0.25">
      <c r="A466" s="208">
        <f t="shared" si="9"/>
        <v>72.599999999999994</v>
      </c>
      <c r="B466" s="208">
        <f>YEAR(Data_NFI_t[[#This Row],[Distribution Date]])</f>
        <v>2012</v>
      </c>
      <c r="C466" s="719">
        <v>41256</v>
      </c>
      <c r="D466" s="395" t="s">
        <v>270</v>
      </c>
      <c r="E466" s="394"/>
      <c r="F466" s="395" t="s">
        <v>7</v>
      </c>
      <c r="G466" s="646" t="s">
        <v>17</v>
      </c>
      <c r="H466" s="646" t="s">
        <v>68</v>
      </c>
      <c r="I466" s="646"/>
      <c r="J466" s="646"/>
      <c r="K466" s="646"/>
      <c r="L466" s="42"/>
      <c r="M466" s="42">
        <v>1900</v>
      </c>
      <c r="N466" s="42"/>
      <c r="O466" s="42"/>
      <c r="P466" s="42"/>
      <c r="Q466" s="42"/>
      <c r="R466" s="42"/>
      <c r="S466" s="42"/>
      <c r="T466" s="410"/>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55">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09">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09">
        <f>IF(NFI_Expiration=1,IF($A466&lt;VLOOKUP(X$5,NFI,5,0),1,0)*Data_NFI_t[[#This Row],[Solar Lantern]],0)</f>
        <v>0</v>
      </c>
      <c r="AT466" s="105" t="str">
        <f ca="1">IFERROR(OFFSET(Camp_List[P_Code],MATCH(Data_NFI_t[[#This Row],[Camp Name]],Camp_List[Camp Name],0)-1,0,1,1),"")</f>
        <v>MMR012CMP048</v>
      </c>
      <c r="AU466" s="412" t="str">
        <f ca="1">IFERROR(OFFSET(Camp_List[Status],MATCH(Data_NFI_t[[#This Row],[Camp Name]],Camp_List[Camp Name],0)-1,0,1,1),"")</f>
        <v>Open</v>
      </c>
      <c r="AV466" s="105"/>
    </row>
    <row r="467" spans="1:48" s="78" customFormat="1" ht="19.5" customHeight="1" x14ac:dyDescent="0.25">
      <c r="A467" s="208">
        <f t="shared" si="9"/>
        <v>72.599999999999994</v>
      </c>
      <c r="B467" s="208">
        <f>YEAR(Data_NFI_t[[#This Row],[Distribution Date]])</f>
        <v>2012</v>
      </c>
      <c r="C467" s="719">
        <v>41256</v>
      </c>
      <c r="D467" s="395" t="s">
        <v>270</v>
      </c>
      <c r="E467" s="394"/>
      <c r="F467" s="395" t="s">
        <v>7</v>
      </c>
      <c r="G467" s="646" t="s">
        <v>14</v>
      </c>
      <c r="H467" s="646" t="s">
        <v>50</v>
      </c>
      <c r="I467" s="646"/>
      <c r="J467" s="646"/>
      <c r="K467" s="646"/>
      <c r="L467" s="42"/>
      <c r="M467" s="42"/>
      <c r="N467" s="42">
        <v>214</v>
      </c>
      <c r="O467" s="42"/>
      <c r="P467" s="42">
        <v>214</v>
      </c>
      <c r="Q467" s="42">
        <v>107</v>
      </c>
      <c r="R467" s="42">
        <v>107</v>
      </c>
      <c r="S467" s="42"/>
      <c r="T467" s="410"/>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55">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09">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09">
        <f>IF(NFI_Expiration=1,IF($A467&lt;VLOOKUP(X$5,NFI,5,0),1,0)*Data_NFI_t[[#This Row],[Solar Lantern]],0)</f>
        <v>0</v>
      </c>
      <c r="AT467" s="105" t="str">
        <f ca="1">IFERROR(OFFSET(Camp_List[P_Code],MATCH(Data_NFI_t[[#This Row],[Camp Name]],Camp_List[Camp Name],0)-1,0,1,1),"")</f>
        <v>MMR012CMP028</v>
      </c>
      <c r="AU467" s="412" t="str">
        <f ca="1">IFERROR(OFFSET(Camp_List[Status],MATCH(Data_NFI_t[[#This Row],[Camp Name]],Camp_List[Camp Name],0)-1,0,1,1),"")</f>
        <v>Returned</v>
      </c>
      <c r="AV467" s="105"/>
    </row>
    <row r="468" spans="1:48" s="78" customFormat="1" ht="19.5" customHeight="1" x14ac:dyDescent="0.25">
      <c r="A468" s="208">
        <f t="shared" si="9"/>
        <v>72.63333333333334</v>
      </c>
      <c r="B468" s="208">
        <f>YEAR(Data_NFI_t[[#This Row],[Distribution Date]])</f>
        <v>2012</v>
      </c>
      <c r="C468" s="719">
        <v>41255</v>
      </c>
      <c r="D468" s="395" t="s">
        <v>274</v>
      </c>
      <c r="E468" s="394" t="s">
        <v>270</v>
      </c>
      <c r="F468" s="395" t="s">
        <v>7</v>
      </c>
      <c r="G468" s="646" t="s">
        <v>17</v>
      </c>
      <c r="H468" s="646" t="s">
        <v>69</v>
      </c>
      <c r="I468" s="646"/>
      <c r="J468" s="646"/>
      <c r="K468" s="646"/>
      <c r="L468" s="42"/>
      <c r="M468" s="42"/>
      <c r="N468" s="42"/>
      <c r="O468" s="42"/>
      <c r="P468" s="42">
        <v>50</v>
      </c>
      <c r="Q468" s="42"/>
      <c r="R468" s="42"/>
      <c r="S468" s="42"/>
      <c r="T468" s="410"/>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55">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09">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09">
        <f>IF(NFI_Expiration=1,IF($A468&lt;VLOOKUP(X$5,NFI,5,0),1,0)*Data_NFI_t[[#This Row],[Solar Lantern]],0)</f>
        <v>0</v>
      </c>
      <c r="AT468" s="105" t="str">
        <f ca="1">IFERROR(OFFSET(Camp_List[P_Code],MATCH(Data_NFI_t[[#This Row],[Camp Name]],Camp_List[Camp Name],0)-1,0,1,1),"")</f>
        <v>MMR012CMP049</v>
      </c>
      <c r="AU468" s="412" t="str">
        <f ca="1">IFERROR(OFFSET(Camp_List[Status],MATCH(Data_NFI_t[[#This Row],[Camp Name]],Camp_List[Camp Name],0)-1,0,1,1),"")</f>
        <v>Close</v>
      </c>
      <c r="AV468" s="105"/>
    </row>
    <row r="469" spans="1:48" s="78" customFormat="1" ht="19.5" customHeight="1" x14ac:dyDescent="0.25">
      <c r="A469" s="208">
        <f t="shared" si="9"/>
        <v>72.63333333333334</v>
      </c>
      <c r="B469" s="208">
        <f>YEAR(Data_NFI_t[[#This Row],[Distribution Date]])</f>
        <v>2012</v>
      </c>
      <c r="C469" s="719">
        <v>41255</v>
      </c>
      <c r="D469" s="395" t="s">
        <v>270</v>
      </c>
      <c r="E469" s="394"/>
      <c r="F469" s="395" t="s">
        <v>7</v>
      </c>
      <c r="G469" s="646" t="s">
        <v>17</v>
      </c>
      <c r="H469" s="646" t="s">
        <v>73</v>
      </c>
      <c r="I469" s="646"/>
      <c r="J469" s="646"/>
      <c r="K469" s="646"/>
      <c r="L469" s="42"/>
      <c r="M469" s="42">
        <v>85</v>
      </c>
      <c r="N469" s="42"/>
      <c r="O469" s="42"/>
      <c r="P469" s="42"/>
      <c r="Q469" s="42"/>
      <c r="R469" s="42"/>
      <c r="S469" s="42"/>
      <c r="T469" s="410"/>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55">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09">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09">
        <f>IF(NFI_Expiration=1,IF($A469&lt;VLOOKUP(X$5,NFI,5,0),1,0)*Data_NFI_t[[#This Row],[Solar Lantern]],0)</f>
        <v>0</v>
      </c>
      <c r="AT469" s="105" t="str">
        <f ca="1">IFERROR(OFFSET(Camp_List[P_Code],MATCH(Data_NFI_t[[#This Row],[Camp Name]],Camp_List[Camp Name],0)-1,0,1,1),"")</f>
        <v>MMR012CMP053</v>
      </c>
      <c r="AU469" s="412" t="str">
        <f ca="1">IFERROR(OFFSET(Camp_List[Status],MATCH(Data_NFI_t[[#This Row],[Camp Name]],Camp_List[Camp Name],0)-1,0,1,1),"")</f>
        <v>Close</v>
      </c>
      <c r="AV469" s="105"/>
    </row>
    <row r="470" spans="1:48" s="78" customFormat="1" ht="19.5" customHeight="1" x14ac:dyDescent="0.25">
      <c r="A470" s="208">
        <f t="shared" si="9"/>
        <v>72.63333333333334</v>
      </c>
      <c r="B470" s="208">
        <f>YEAR(Data_NFI_t[[#This Row],[Distribution Date]])</f>
        <v>2012</v>
      </c>
      <c r="C470" s="719">
        <v>41255</v>
      </c>
      <c r="D470" s="395" t="s">
        <v>270</v>
      </c>
      <c r="E470" s="394"/>
      <c r="F470" s="395" t="s">
        <v>7</v>
      </c>
      <c r="G470" s="646" t="s">
        <v>17</v>
      </c>
      <c r="H470" s="646" t="s">
        <v>74</v>
      </c>
      <c r="I470" s="646"/>
      <c r="J470" s="646"/>
      <c r="K470" s="646"/>
      <c r="L470" s="42"/>
      <c r="M470" s="42">
        <v>53</v>
      </c>
      <c r="N470" s="42"/>
      <c r="O470" s="42"/>
      <c r="P470" s="42"/>
      <c r="Q470" s="42"/>
      <c r="R470" s="42"/>
      <c r="S470" s="42"/>
      <c r="T470" s="410"/>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55">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09">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09">
        <f>IF(NFI_Expiration=1,IF($A470&lt;VLOOKUP(X$5,NFI,5,0),1,0)*Data_NFI_t[[#This Row],[Solar Lantern]],0)</f>
        <v>0</v>
      </c>
      <c r="AT470" s="105" t="str">
        <f ca="1">IFERROR(OFFSET(Camp_List[P_Code],MATCH(Data_NFI_t[[#This Row],[Camp Name]],Camp_List[Camp Name],0)-1,0,1,1),"")</f>
        <v>MMR012CMP093</v>
      </c>
      <c r="AU470" s="412" t="str">
        <f ca="1">IFERROR(OFFSET(Camp_List[Status],MATCH(Data_NFI_t[[#This Row],[Camp Name]],Camp_List[Camp Name],0)-1,0,1,1),"")</f>
        <v>Relocated</v>
      </c>
      <c r="AV470" s="105"/>
    </row>
    <row r="471" spans="1:48" s="78" customFormat="1" ht="19.5" customHeight="1" x14ac:dyDescent="0.25">
      <c r="A471" s="208">
        <f t="shared" si="9"/>
        <v>72.63333333333334</v>
      </c>
      <c r="B471" s="208">
        <f>YEAR(Data_NFI_t[[#This Row],[Distribution Date]])</f>
        <v>2012</v>
      </c>
      <c r="C471" s="719">
        <v>41255</v>
      </c>
      <c r="D471" s="395" t="s">
        <v>270</v>
      </c>
      <c r="E471" s="394"/>
      <c r="F471" s="395" t="s">
        <v>7</v>
      </c>
      <c r="G471" s="646" t="s">
        <v>17</v>
      </c>
      <c r="H471" s="646" t="s">
        <v>76</v>
      </c>
      <c r="I471" s="646"/>
      <c r="J471" s="646"/>
      <c r="K471" s="646"/>
      <c r="L471" s="42"/>
      <c r="M471" s="42">
        <v>195</v>
      </c>
      <c r="N471" s="42"/>
      <c r="O471" s="42"/>
      <c r="P471" s="42"/>
      <c r="Q471" s="42"/>
      <c r="R471" s="42"/>
      <c r="S471" s="42"/>
      <c r="T471" s="410"/>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55">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09">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09">
        <f>IF(NFI_Expiration=1,IF($A471&lt;VLOOKUP(X$5,NFI,5,0),1,0)*Data_NFI_t[[#This Row],[Solar Lantern]],0)</f>
        <v>0</v>
      </c>
      <c r="AT471" s="105" t="str">
        <f ca="1">IFERROR(OFFSET(Camp_List[P_Code],MATCH(Data_NFI_t[[#This Row],[Camp Name]],Camp_List[Camp Name],0)-1,0,1,1),"")</f>
        <v>MMR012CMP056</v>
      </c>
      <c r="AU471" s="412" t="str">
        <f ca="1">IFERROR(OFFSET(Camp_List[Status],MATCH(Data_NFI_t[[#This Row],[Camp Name]],Camp_List[Camp Name],0)-1,0,1,1),"")</f>
        <v>Relocated</v>
      </c>
      <c r="AV471" s="105"/>
    </row>
    <row r="472" spans="1:48" s="78" customFormat="1" ht="19.5" customHeight="1" x14ac:dyDescent="0.25">
      <c r="A472" s="208">
        <f t="shared" si="9"/>
        <v>72.7</v>
      </c>
      <c r="B472" s="208">
        <f>YEAR(Data_NFI_t[[#This Row],[Distribution Date]])</f>
        <v>2012</v>
      </c>
      <c r="C472" s="719">
        <v>41253</v>
      </c>
      <c r="D472" s="395" t="s">
        <v>270</v>
      </c>
      <c r="E472" s="394"/>
      <c r="F472" s="395" t="s">
        <v>7</v>
      </c>
      <c r="G472" s="646" t="s">
        <v>561</v>
      </c>
      <c r="H472" s="646" t="s">
        <v>441</v>
      </c>
      <c r="I472" s="646"/>
      <c r="J472" s="646"/>
      <c r="K472" s="646"/>
      <c r="L472" s="42"/>
      <c r="M472" s="42"/>
      <c r="N472" s="42">
        <v>170</v>
      </c>
      <c r="O472" s="42">
        <v>85</v>
      </c>
      <c r="P472" s="42">
        <v>170</v>
      </c>
      <c r="Q472" s="42">
        <v>85</v>
      </c>
      <c r="R472" s="42"/>
      <c r="S472" s="42"/>
      <c r="T472" s="410"/>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55">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09">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09">
        <f>IF(NFI_Expiration=1,IF($A472&lt;VLOOKUP(X$5,NFI,5,0),1,0)*Data_NFI_t[[#This Row],[Solar Lantern]],0)</f>
        <v>0</v>
      </c>
      <c r="AT472" s="105" t="str">
        <f ca="1">IFERROR(OFFSET(Camp_List[P_Code],MATCH(Data_NFI_t[[#This Row],[Camp Name]],Camp_List[Camp Name],0)-1,0,1,1),"")</f>
        <v>MMR012CMP036</v>
      </c>
      <c r="AU472" s="412" t="str">
        <f ca="1">IFERROR(OFFSET(Camp_List[Status],MATCH(Data_NFI_t[[#This Row],[Camp Name]],Camp_List[Camp Name],0)-1,0,1,1),"")</f>
        <v>Relocated</v>
      </c>
      <c r="AV472" s="105"/>
    </row>
    <row r="473" spans="1:48" s="78" customFormat="1" ht="19.5" customHeight="1" x14ac:dyDescent="0.25">
      <c r="A473" s="208">
        <f t="shared" si="9"/>
        <v>72.7</v>
      </c>
      <c r="B473" s="208">
        <f>YEAR(Data_NFI_t[[#This Row],[Distribution Date]])</f>
        <v>2012</v>
      </c>
      <c r="C473" s="719">
        <v>41253</v>
      </c>
      <c r="D473" s="395" t="s">
        <v>270</v>
      </c>
      <c r="E473" s="394"/>
      <c r="F473" s="395" t="s">
        <v>7</v>
      </c>
      <c r="G473" s="646" t="s">
        <v>561</v>
      </c>
      <c r="H473" s="646" t="s">
        <v>56</v>
      </c>
      <c r="I473" s="646"/>
      <c r="J473" s="646"/>
      <c r="K473" s="646"/>
      <c r="L473" s="42"/>
      <c r="M473" s="42"/>
      <c r="N473" s="42">
        <v>826</v>
      </c>
      <c r="O473" s="42">
        <v>213</v>
      </c>
      <c r="P473" s="42">
        <v>826</v>
      </c>
      <c r="Q473" s="42">
        <v>413</v>
      </c>
      <c r="R473" s="42"/>
      <c r="S473" s="42"/>
      <c r="T473" s="410"/>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55">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09">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09">
        <f>IF(NFI_Expiration=1,IF($A473&lt;VLOOKUP(X$5,NFI,5,0),1,0)*Data_NFI_t[[#This Row],[Solar Lantern]],0)</f>
        <v>0</v>
      </c>
      <c r="AT473" s="105" t="str">
        <f ca="1">IFERROR(OFFSET(Camp_List[P_Code],MATCH(Data_NFI_t[[#This Row],[Camp Name]],Camp_List[Camp Name],0)-1,0,1,1),"")</f>
        <v>MMR012CMP035</v>
      </c>
      <c r="AU473" s="412" t="str">
        <f ca="1">IFERROR(OFFSET(Camp_List[Status],MATCH(Data_NFI_t[[#This Row],[Camp Name]],Camp_List[Camp Name],0)-1,0,1,1),"")</f>
        <v>Open</v>
      </c>
      <c r="AV473" s="105"/>
    </row>
    <row r="474" spans="1:48" s="78" customFormat="1" ht="19.5" customHeight="1" x14ac:dyDescent="0.25">
      <c r="A474" s="208">
        <f t="shared" si="9"/>
        <v>72.86666666666666</v>
      </c>
      <c r="B474" s="208">
        <f>YEAR(Data_NFI_t[[#This Row],[Distribution Date]])</f>
        <v>2012</v>
      </c>
      <c r="C474" s="719">
        <v>41248</v>
      </c>
      <c r="D474" s="395" t="s">
        <v>274</v>
      </c>
      <c r="E474" s="394" t="s">
        <v>270</v>
      </c>
      <c r="F474" s="395" t="s">
        <v>7</v>
      </c>
      <c r="G474" s="646" t="s">
        <v>17</v>
      </c>
      <c r="H474" s="646" t="s">
        <v>69</v>
      </c>
      <c r="I474" s="646"/>
      <c r="J474" s="646"/>
      <c r="K474" s="646"/>
      <c r="L474" s="42"/>
      <c r="M474" s="42"/>
      <c r="N474" s="42"/>
      <c r="O474" s="42"/>
      <c r="P474" s="42">
        <v>50</v>
      </c>
      <c r="Q474" s="42"/>
      <c r="R474" s="42"/>
      <c r="S474" s="42"/>
      <c r="T474" s="410"/>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55">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09">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09">
        <f>IF(NFI_Expiration=1,IF($A474&lt;VLOOKUP(X$5,NFI,5,0),1,0)*Data_NFI_t[[#This Row],[Solar Lantern]],0)</f>
        <v>0</v>
      </c>
      <c r="AT474" s="105" t="str">
        <f ca="1">IFERROR(OFFSET(Camp_List[P_Code],MATCH(Data_NFI_t[[#This Row],[Camp Name]],Camp_List[Camp Name],0)-1,0,1,1),"")</f>
        <v>MMR012CMP049</v>
      </c>
      <c r="AU474" s="412" t="str">
        <f ca="1">IFERROR(OFFSET(Camp_List[Status],MATCH(Data_NFI_t[[#This Row],[Camp Name]],Camp_List[Camp Name],0)-1,0,1,1),"")</f>
        <v>Close</v>
      </c>
      <c r="AV474" s="105"/>
    </row>
    <row r="475" spans="1:48" s="78" customFormat="1" ht="19.5" customHeight="1" x14ac:dyDescent="0.25">
      <c r="A475" s="208">
        <f t="shared" si="9"/>
        <v>72.933333333333337</v>
      </c>
      <c r="B475" s="208">
        <f>YEAR(Data_NFI_t[[#This Row],[Distribution Date]])</f>
        <v>2012</v>
      </c>
      <c r="C475" s="719">
        <v>41246</v>
      </c>
      <c r="D475" s="395" t="s">
        <v>274</v>
      </c>
      <c r="E475" s="394" t="s">
        <v>270</v>
      </c>
      <c r="F475" s="395" t="s">
        <v>7</v>
      </c>
      <c r="G475" s="646" t="s">
        <v>17</v>
      </c>
      <c r="H475" s="646" t="s">
        <v>68</v>
      </c>
      <c r="I475" s="646"/>
      <c r="J475" s="646"/>
      <c r="K475" s="646"/>
      <c r="L475" s="42"/>
      <c r="M475" s="42"/>
      <c r="N475" s="42"/>
      <c r="O475" s="42"/>
      <c r="P475" s="42">
        <v>92</v>
      </c>
      <c r="Q475" s="42"/>
      <c r="R475" s="42"/>
      <c r="S475" s="42"/>
      <c r="T475" s="410"/>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55">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09">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09">
        <f>IF(NFI_Expiration=1,IF($A475&lt;VLOOKUP(X$5,NFI,5,0),1,0)*Data_NFI_t[[#This Row],[Solar Lantern]],0)</f>
        <v>0</v>
      </c>
      <c r="AT475" s="105" t="str">
        <f ca="1">IFERROR(OFFSET(Camp_List[P_Code],MATCH(Data_NFI_t[[#This Row],[Camp Name]],Camp_List[Camp Name],0)-1,0,1,1),"")</f>
        <v>MMR012CMP048</v>
      </c>
      <c r="AU475" s="412" t="str">
        <f ca="1">IFERROR(OFFSET(Camp_List[Status],MATCH(Data_NFI_t[[#This Row],[Camp Name]],Camp_List[Camp Name],0)-1,0,1,1),"")</f>
        <v>Open</v>
      </c>
      <c r="AV475" s="105"/>
    </row>
    <row r="476" spans="1:48" s="78" customFormat="1" ht="19.5" customHeight="1" x14ac:dyDescent="0.25">
      <c r="A476" s="208">
        <f t="shared" si="9"/>
        <v>73.033333333333331</v>
      </c>
      <c r="B476" s="208">
        <f>YEAR(Data_NFI_t[[#This Row],[Distribution Date]])</f>
        <v>2012</v>
      </c>
      <c r="C476" s="719">
        <v>41243</v>
      </c>
      <c r="D476" s="395" t="s">
        <v>270</v>
      </c>
      <c r="E476" s="394"/>
      <c r="F476" s="395" t="s">
        <v>7</v>
      </c>
      <c r="G476" s="646" t="s">
        <v>11</v>
      </c>
      <c r="H476" s="646" t="s">
        <v>28</v>
      </c>
      <c r="I476" s="646"/>
      <c r="J476" s="646"/>
      <c r="K476" s="646"/>
      <c r="L476" s="42"/>
      <c r="M476" s="42"/>
      <c r="N476" s="42"/>
      <c r="O476" s="42"/>
      <c r="P476" s="42">
        <v>172</v>
      </c>
      <c r="Q476" s="42">
        <v>46</v>
      </c>
      <c r="R476" s="42"/>
      <c r="S476" s="42"/>
      <c r="T476" s="410"/>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55">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09">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09">
        <f>IF(NFI_Expiration=1,IF($A476&lt;VLOOKUP(X$5,NFI,5,0),1,0)*Data_NFI_t[[#This Row],[Solar Lantern]],0)</f>
        <v>0</v>
      </c>
      <c r="AT476" s="105" t="str">
        <f ca="1">IFERROR(OFFSET(Camp_List[P_Code],MATCH(Data_NFI_t[[#This Row],[Camp Name]],Camp_List[Camp Name],0)-1,0,1,1),"")</f>
        <v>MMR012CMP006</v>
      </c>
      <c r="AU476" s="412" t="str">
        <f ca="1">IFERROR(OFFSET(Camp_List[Status],MATCH(Data_NFI_t[[#This Row],[Camp Name]],Camp_List[Camp Name],0)-1,0,1,1),"")</f>
        <v>Returned</v>
      </c>
      <c r="AV476" s="105"/>
    </row>
    <row r="477" spans="1:48" s="78" customFormat="1" ht="19.5" customHeight="1" x14ac:dyDescent="0.25">
      <c r="A477" s="208">
        <f t="shared" si="9"/>
        <v>73.033333333333331</v>
      </c>
      <c r="B477" s="208">
        <f>YEAR(Data_NFI_t[[#This Row],[Distribution Date]])</f>
        <v>2012</v>
      </c>
      <c r="C477" s="719">
        <v>41243</v>
      </c>
      <c r="D477" s="395" t="s">
        <v>270</v>
      </c>
      <c r="E477" s="394"/>
      <c r="F477" s="395" t="s">
        <v>7</v>
      </c>
      <c r="G477" s="646" t="s">
        <v>17</v>
      </c>
      <c r="H477" s="646" t="s">
        <v>71</v>
      </c>
      <c r="I477" s="646"/>
      <c r="J477" s="646"/>
      <c r="K477" s="646"/>
      <c r="L477" s="42"/>
      <c r="M477" s="42"/>
      <c r="N477" s="42"/>
      <c r="O477" s="42">
        <v>130</v>
      </c>
      <c r="P477" s="42"/>
      <c r="Q477" s="42"/>
      <c r="R477" s="42"/>
      <c r="S477" s="42"/>
      <c r="T477" s="410"/>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55">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09">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09">
        <f>IF(NFI_Expiration=1,IF($A477&lt;VLOOKUP(X$5,NFI,5,0),1,0)*Data_NFI_t[[#This Row],[Solar Lantern]],0)</f>
        <v>0</v>
      </c>
      <c r="AT477" s="105" t="str">
        <f ca="1">IFERROR(OFFSET(Camp_List[P_Code],MATCH(Data_NFI_t[[#This Row],[Camp Name]],Camp_List[Camp Name],0)-1,0,1,1),"")</f>
        <v>MMR012CMP051</v>
      </c>
      <c r="AU477" s="412" t="str">
        <f ca="1">IFERROR(OFFSET(Camp_List[Status],MATCH(Data_NFI_t[[#This Row],[Camp Name]],Camp_List[Camp Name],0)-1,0,1,1),"")</f>
        <v>Close</v>
      </c>
      <c r="AV477" s="105"/>
    </row>
    <row r="478" spans="1:48" s="78" customFormat="1" ht="19.5" customHeight="1" x14ac:dyDescent="0.25">
      <c r="A478" s="208">
        <f t="shared" si="9"/>
        <v>73.033333333333331</v>
      </c>
      <c r="B478" s="208">
        <f>YEAR(Data_NFI_t[[#This Row],[Distribution Date]])</f>
        <v>2012</v>
      </c>
      <c r="C478" s="719">
        <v>41243</v>
      </c>
      <c r="D478" s="395" t="s">
        <v>270</v>
      </c>
      <c r="E478" s="394"/>
      <c r="F478" s="395" t="s">
        <v>7</v>
      </c>
      <c r="G478" s="646" t="s">
        <v>17</v>
      </c>
      <c r="H478" s="646" t="s">
        <v>71</v>
      </c>
      <c r="I478" s="646"/>
      <c r="J478" s="646"/>
      <c r="K478" s="646"/>
      <c r="L478" s="42"/>
      <c r="M478" s="42"/>
      <c r="N478" s="42"/>
      <c r="O478" s="42">
        <v>314</v>
      </c>
      <c r="P478" s="42"/>
      <c r="Q478" s="42"/>
      <c r="R478" s="42"/>
      <c r="S478" s="42"/>
      <c r="T478" s="410"/>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55">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09">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09">
        <f>IF(NFI_Expiration=1,IF($A478&lt;VLOOKUP(X$5,NFI,5,0),1,0)*Data_NFI_t[[#This Row],[Solar Lantern]],0)</f>
        <v>0</v>
      </c>
      <c r="AT478" s="105" t="str">
        <f ca="1">IFERROR(OFFSET(Camp_List[P_Code],MATCH(Data_NFI_t[[#This Row],[Camp Name]],Camp_List[Camp Name],0)-1,0,1,1),"")</f>
        <v>MMR012CMP051</v>
      </c>
      <c r="AU478" s="412" t="str">
        <f ca="1">IFERROR(OFFSET(Camp_List[Status],MATCH(Data_NFI_t[[#This Row],[Camp Name]],Camp_List[Camp Name],0)-1,0,1,1),"")</f>
        <v>Close</v>
      </c>
      <c r="AV478" s="105"/>
    </row>
    <row r="479" spans="1:48" s="78" customFormat="1" ht="19.5" customHeight="1" x14ac:dyDescent="0.25">
      <c r="A479" s="208">
        <f t="shared" ref="A479:A542" si="10">IF(ISBLANK(C479),"",(Report_Date-C479)/30)</f>
        <v>73.033333333333331</v>
      </c>
      <c r="B479" s="208">
        <f>YEAR(Data_NFI_t[[#This Row],[Distribution Date]])</f>
        <v>2012</v>
      </c>
      <c r="C479" s="719">
        <v>41243</v>
      </c>
      <c r="D479" s="395" t="s">
        <v>270</v>
      </c>
      <c r="E479" s="394"/>
      <c r="F479" s="395" t="s">
        <v>7</v>
      </c>
      <c r="G479" s="646" t="s">
        <v>814</v>
      </c>
      <c r="H479" s="646" t="s">
        <v>35</v>
      </c>
      <c r="I479" s="646"/>
      <c r="J479" s="646"/>
      <c r="K479" s="646"/>
      <c r="L479" s="42"/>
      <c r="M479" s="42"/>
      <c r="N479" s="42">
        <v>88</v>
      </c>
      <c r="O479" s="42">
        <v>44</v>
      </c>
      <c r="P479" s="42">
        <v>88</v>
      </c>
      <c r="Q479" s="42">
        <v>44</v>
      </c>
      <c r="R479" s="42">
        <v>44</v>
      </c>
      <c r="S479" s="42"/>
      <c r="T479" s="410"/>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55">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09">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09">
        <f>IF(NFI_Expiration=1,IF($A479&lt;VLOOKUP(X$5,NFI,5,0),1,0)*Data_NFI_t[[#This Row],[Solar Lantern]],0)</f>
        <v>0</v>
      </c>
      <c r="AT479" s="105" t="str">
        <f ca="1">IFERROR(OFFSET(Camp_List[P_Code],MATCH(Data_NFI_t[[#This Row],[Camp Name]],Camp_List[Camp Name],0)-1,0,1,1),"")</f>
        <v>MMR012CMP013</v>
      </c>
      <c r="AU479" s="412" t="str">
        <f ca="1">IFERROR(OFFSET(Camp_List[Status],MATCH(Data_NFI_t[[#This Row],[Camp Name]],Camp_List[Camp Name],0)-1,0,1,1),"")</f>
        <v>Relocated</v>
      </c>
      <c r="AV479" s="105"/>
    </row>
    <row r="480" spans="1:48" s="78" customFormat="1" ht="19.5" customHeight="1" x14ac:dyDescent="0.25">
      <c r="A480" s="208">
        <f t="shared" si="10"/>
        <v>73.033333333333331</v>
      </c>
      <c r="B480" s="208">
        <f>YEAR(Data_NFI_t[[#This Row],[Distribution Date]])</f>
        <v>2012</v>
      </c>
      <c r="C480" s="719">
        <v>41243</v>
      </c>
      <c r="D480" s="395" t="s">
        <v>270</v>
      </c>
      <c r="E480" s="394"/>
      <c r="F480" s="395" t="s">
        <v>7</v>
      </c>
      <c r="G480" s="646" t="s">
        <v>17</v>
      </c>
      <c r="H480" s="646" t="s">
        <v>70</v>
      </c>
      <c r="I480" s="646"/>
      <c r="J480" s="646"/>
      <c r="K480" s="646"/>
      <c r="L480" s="42"/>
      <c r="M480" s="42"/>
      <c r="N480" s="42"/>
      <c r="O480" s="42">
        <v>822</v>
      </c>
      <c r="P480" s="42"/>
      <c r="Q480" s="42"/>
      <c r="R480" s="42"/>
      <c r="S480" s="42"/>
      <c r="T480" s="410"/>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55">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09">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09">
        <f>IF(NFI_Expiration=1,IF($A480&lt;VLOOKUP(X$5,NFI,5,0),1,0)*Data_NFI_t[[#This Row],[Solar Lantern]],0)</f>
        <v>0</v>
      </c>
      <c r="AT480" s="105" t="str">
        <f ca="1">IFERROR(OFFSET(Camp_List[P_Code],MATCH(Data_NFI_t[[#This Row],[Camp Name]],Camp_List[Camp Name],0)-1,0,1,1),"")</f>
        <v>MMR012CMP050</v>
      </c>
      <c r="AU480" s="412" t="str">
        <f ca="1">IFERROR(OFFSET(Camp_List[Status],MATCH(Data_NFI_t[[#This Row],[Camp Name]],Camp_List[Camp Name],0)-1,0,1,1),"")</f>
        <v>Close</v>
      </c>
      <c r="AV480" s="105"/>
    </row>
    <row r="481" spans="1:48" s="78" customFormat="1" ht="19.5" customHeight="1" x14ac:dyDescent="0.25">
      <c r="A481" s="208">
        <f t="shared" si="10"/>
        <v>73.033333333333331</v>
      </c>
      <c r="B481" s="208">
        <f>YEAR(Data_NFI_t[[#This Row],[Distribution Date]])</f>
        <v>2012</v>
      </c>
      <c r="C481" s="719">
        <v>41243</v>
      </c>
      <c r="D481" s="395" t="s">
        <v>270</v>
      </c>
      <c r="E481" s="394"/>
      <c r="F481" s="395" t="s">
        <v>7</v>
      </c>
      <c r="G481" s="646" t="s">
        <v>814</v>
      </c>
      <c r="H481" s="646" t="s">
        <v>36</v>
      </c>
      <c r="I481" s="646"/>
      <c r="J481" s="646"/>
      <c r="K481" s="646"/>
      <c r="L481" s="42"/>
      <c r="M481" s="42"/>
      <c r="N481" s="42"/>
      <c r="O481" s="42"/>
      <c r="P481" s="42"/>
      <c r="Q481" s="42"/>
      <c r="R481" s="42">
        <v>705</v>
      </c>
      <c r="S481" s="42"/>
      <c r="T481" s="410"/>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55">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09">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09">
        <f>IF(NFI_Expiration=1,IF($A481&lt;VLOOKUP(X$5,NFI,5,0),1,0)*Data_NFI_t[[#This Row],[Solar Lantern]],0)</f>
        <v>0</v>
      </c>
      <c r="AT481" s="105" t="str">
        <f ca="1">IFERROR(OFFSET(Camp_List[P_Code],MATCH(Data_NFI_t[[#This Row],[Camp Name]],Camp_List[Camp Name],0)-1,0,1,1),"")</f>
        <v>MMR012CMP014</v>
      </c>
      <c r="AU481" s="412" t="str">
        <f ca="1">IFERROR(OFFSET(Camp_List[Status],MATCH(Data_NFI_t[[#This Row],[Camp Name]],Camp_List[Camp Name],0)-1,0,1,1),"")</f>
        <v>Open</v>
      </c>
      <c r="AV481" s="105"/>
    </row>
    <row r="482" spans="1:48" s="78" customFormat="1" ht="19.5" customHeight="1" x14ac:dyDescent="0.25">
      <c r="A482" s="208">
        <f t="shared" si="10"/>
        <v>73.033333333333331</v>
      </c>
      <c r="B482" s="208">
        <f>YEAR(Data_NFI_t[[#This Row],[Distribution Date]])</f>
        <v>2012</v>
      </c>
      <c r="C482" s="719">
        <v>41243</v>
      </c>
      <c r="D482" s="395" t="s">
        <v>274</v>
      </c>
      <c r="E482" s="394" t="s">
        <v>270</v>
      </c>
      <c r="F482" s="395" t="s">
        <v>7</v>
      </c>
      <c r="G482" s="646" t="s">
        <v>17</v>
      </c>
      <c r="H482" s="646" t="s">
        <v>68</v>
      </c>
      <c r="I482" s="646"/>
      <c r="J482" s="646"/>
      <c r="K482" s="646"/>
      <c r="L482" s="42"/>
      <c r="M482" s="42"/>
      <c r="N482" s="42"/>
      <c r="O482" s="42"/>
      <c r="P482" s="42">
        <v>100</v>
      </c>
      <c r="Q482" s="42"/>
      <c r="R482" s="42"/>
      <c r="S482" s="42"/>
      <c r="T482" s="410"/>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55">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09">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09">
        <f>IF(NFI_Expiration=1,IF($A482&lt;VLOOKUP(X$5,NFI,5,0),1,0)*Data_NFI_t[[#This Row],[Solar Lantern]],0)</f>
        <v>0</v>
      </c>
      <c r="AT482" s="105" t="str">
        <f ca="1">IFERROR(OFFSET(Camp_List[P_Code],MATCH(Data_NFI_t[[#This Row],[Camp Name]],Camp_List[Camp Name],0)-1,0,1,1),"")</f>
        <v>MMR012CMP048</v>
      </c>
      <c r="AU482" s="412" t="str">
        <f ca="1">IFERROR(OFFSET(Camp_List[Status],MATCH(Data_NFI_t[[#This Row],[Camp Name]],Camp_List[Camp Name],0)-1,0,1,1),"")</f>
        <v>Open</v>
      </c>
      <c r="AV482" s="105"/>
    </row>
    <row r="483" spans="1:48" s="78" customFormat="1" ht="19.5" customHeight="1" x14ac:dyDescent="0.25">
      <c r="A483" s="208">
        <f t="shared" si="10"/>
        <v>73.333333333333329</v>
      </c>
      <c r="B483" s="208">
        <f>YEAR(Data_NFI_t[[#This Row],[Distribution Date]])</f>
        <v>2012</v>
      </c>
      <c r="C483" s="719">
        <v>41234</v>
      </c>
      <c r="D483" s="395" t="s">
        <v>270</v>
      </c>
      <c r="E483" s="394"/>
      <c r="F483" s="395" t="s">
        <v>7</v>
      </c>
      <c r="G483" s="646" t="s">
        <v>11</v>
      </c>
      <c r="H483" s="646" t="s">
        <v>26</v>
      </c>
      <c r="I483" s="646"/>
      <c r="J483" s="646"/>
      <c r="K483" s="646"/>
      <c r="L483" s="42"/>
      <c r="M483" s="42"/>
      <c r="N483" s="42"/>
      <c r="O483" s="42">
        <v>129</v>
      </c>
      <c r="P483" s="42"/>
      <c r="Q483" s="42"/>
      <c r="R483" s="42"/>
      <c r="S483" s="42"/>
      <c r="T483" s="410"/>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55">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09">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09">
        <f>IF(NFI_Expiration=1,IF($A483&lt;VLOOKUP(X$5,NFI,5,0),1,0)*Data_NFI_t[[#This Row],[Solar Lantern]],0)</f>
        <v>0</v>
      </c>
      <c r="AT483" s="105" t="str">
        <f ca="1">IFERROR(OFFSET(Camp_List[P_Code],MATCH(Data_NFI_t[[#This Row],[Camp Name]],Camp_List[Camp Name],0)-1,0,1,1),"")</f>
        <v>MMR012CMP004</v>
      </c>
      <c r="AU483" s="412" t="str">
        <f ca="1">IFERROR(OFFSET(Camp_List[Status],MATCH(Data_NFI_t[[#This Row],[Camp Name]],Camp_List[Camp Name],0)-1,0,1,1),"")</f>
        <v>Close</v>
      </c>
      <c r="AV483" s="105"/>
    </row>
    <row r="484" spans="1:48" s="78" customFormat="1" ht="19.5" customHeight="1" x14ac:dyDescent="0.25">
      <c r="A484" s="208">
        <f t="shared" si="10"/>
        <v>73.333333333333329</v>
      </c>
      <c r="B484" s="208">
        <f>YEAR(Data_NFI_t[[#This Row],[Distribution Date]])</f>
        <v>2012</v>
      </c>
      <c r="C484" s="719">
        <v>41234</v>
      </c>
      <c r="D484" s="395" t="s">
        <v>270</v>
      </c>
      <c r="E484" s="394"/>
      <c r="F484" s="395" t="s">
        <v>7</v>
      </c>
      <c r="G484" s="646" t="s">
        <v>932</v>
      </c>
      <c r="H484" s="646" t="s">
        <v>31</v>
      </c>
      <c r="I484" s="646"/>
      <c r="J484" s="646"/>
      <c r="K484" s="646"/>
      <c r="L484" s="42"/>
      <c r="M484" s="42"/>
      <c r="N484" s="42"/>
      <c r="O484" s="42">
        <v>140</v>
      </c>
      <c r="P484" s="42"/>
      <c r="Q484" s="42"/>
      <c r="R484" s="42"/>
      <c r="S484" s="42"/>
      <c r="T484" s="410"/>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55">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09">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09">
        <f>IF(NFI_Expiration=1,IF($A484&lt;VLOOKUP(X$5,NFI,5,0),1,0)*Data_NFI_t[[#This Row],[Solar Lantern]],0)</f>
        <v>0</v>
      </c>
      <c r="AT484" s="105" t="str">
        <f ca="1">IFERROR(OFFSET(Camp_List[P_Code],MATCH(Data_NFI_t[[#This Row],[Camp Name]],Camp_List[Camp Name],0)-1,0,1,1),"")</f>
        <v>MMR012CMP009</v>
      </c>
      <c r="AU484" s="412" t="str">
        <f ca="1">IFERROR(OFFSET(Camp_List[Status],MATCH(Data_NFI_t[[#This Row],[Camp Name]],Camp_List[Camp Name],0)-1,0,1,1),"")</f>
        <v>Returned</v>
      </c>
      <c r="AV484" s="105"/>
    </row>
    <row r="485" spans="1:48" s="78" customFormat="1" ht="19.5" customHeight="1" x14ac:dyDescent="0.25">
      <c r="A485" s="208">
        <f t="shared" si="10"/>
        <v>73.333333333333329</v>
      </c>
      <c r="B485" s="208">
        <f>YEAR(Data_NFI_t[[#This Row],[Distribution Date]])</f>
        <v>2012</v>
      </c>
      <c r="C485" s="719">
        <v>41234</v>
      </c>
      <c r="D485" s="395" t="s">
        <v>270</v>
      </c>
      <c r="E485" s="394"/>
      <c r="F485" s="395" t="s">
        <v>7</v>
      </c>
      <c r="G485" s="646" t="s">
        <v>11</v>
      </c>
      <c r="H485" s="646" t="s">
        <v>30</v>
      </c>
      <c r="I485" s="646"/>
      <c r="J485" s="646"/>
      <c r="K485" s="646"/>
      <c r="L485" s="42"/>
      <c r="M485" s="42"/>
      <c r="N485" s="42">
        <v>27</v>
      </c>
      <c r="O485" s="42">
        <v>2</v>
      </c>
      <c r="P485" s="42"/>
      <c r="Q485" s="42"/>
      <c r="R485" s="42"/>
      <c r="S485" s="42"/>
      <c r="T485" s="410"/>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55">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09">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09">
        <f>IF(NFI_Expiration=1,IF($A485&lt;VLOOKUP(X$5,NFI,5,0),1,0)*Data_NFI_t[[#This Row],[Solar Lantern]],0)</f>
        <v>0</v>
      </c>
      <c r="AT485" s="105" t="str">
        <f ca="1">IFERROR(OFFSET(Camp_List[P_Code],MATCH(Data_NFI_t[[#This Row],[Camp Name]],Camp_List[Camp Name],0)-1,0,1,1),"")</f>
        <v>MMR012CMP008</v>
      </c>
      <c r="AU485" s="412" t="str">
        <f ca="1">IFERROR(OFFSET(Camp_List[Status],MATCH(Data_NFI_t[[#This Row],[Camp Name]],Camp_List[Camp Name],0)-1,0,1,1),"")</f>
        <v>Returned</v>
      </c>
      <c r="AV485" s="105"/>
    </row>
    <row r="486" spans="1:48" s="78" customFormat="1" ht="19.5" customHeight="1" x14ac:dyDescent="0.25">
      <c r="A486" s="208">
        <f t="shared" si="10"/>
        <v>73.333333333333329</v>
      </c>
      <c r="B486" s="208">
        <f>YEAR(Data_NFI_t[[#This Row],[Distribution Date]])</f>
        <v>2012</v>
      </c>
      <c r="C486" s="719">
        <v>41234</v>
      </c>
      <c r="D486" s="395" t="s">
        <v>270</v>
      </c>
      <c r="E486" s="394"/>
      <c r="F486" s="395" t="s">
        <v>7</v>
      </c>
      <c r="G486" s="646" t="s">
        <v>11</v>
      </c>
      <c r="H486" s="646" t="s">
        <v>25</v>
      </c>
      <c r="I486" s="646"/>
      <c r="J486" s="646"/>
      <c r="K486" s="646"/>
      <c r="L486" s="42"/>
      <c r="M486" s="42"/>
      <c r="N486" s="42">
        <v>172</v>
      </c>
      <c r="O486" s="42">
        <v>10</v>
      </c>
      <c r="P486" s="42">
        <v>172</v>
      </c>
      <c r="Q486" s="42"/>
      <c r="R486" s="42"/>
      <c r="S486" s="42"/>
      <c r="T486" s="410"/>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55">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09">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09">
        <f>IF(NFI_Expiration=1,IF($A486&lt;VLOOKUP(X$5,NFI,5,0),1,0)*Data_NFI_t[[#This Row],[Solar Lantern]],0)</f>
        <v>0</v>
      </c>
      <c r="AT486" s="105" t="str">
        <f ca="1">IFERROR(OFFSET(Camp_List[P_Code],MATCH(Data_NFI_t[[#This Row],[Camp Name]],Camp_List[Camp Name],0)-1,0,1,1),"")</f>
        <v>MMR012CMP003</v>
      </c>
      <c r="AU486" s="412" t="str">
        <f ca="1">IFERROR(OFFSET(Camp_List[Status],MATCH(Data_NFI_t[[#This Row],[Camp Name]],Camp_List[Camp Name],0)-1,0,1,1),"")</f>
        <v>Returned</v>
      </c>
      <c r="AV486" s="105"/>
    </row>
    <row r="487" spans="1:48" s="78" customFormat="1" ht="19.5" customHeight="1" x14ac:dyDescent="0.25">
      <c r="A487" s="208">
        <f t="shared" si="10"/>
        <v>73.333333333333329</v>
      </c>
      <c r="B487" s="208">
        <f>YEAR(Data_NFI_t[[#This Row],[Distribution Date]])</f>
        <v>2012</v>
      </c>
      <c r="C487" s="719">
        <v>41234</v>
      </c>
      <c r="D487" s="395" t="s">
        <v>270</v>
      </c>
      <c r="E487" s="394"/>
      <c r="F487" s="395" t="s">
        <v>7</v>
      </c>
      <c r="G487" s="646" t="s">
        <v>11</v>
      </c>
      <c r="H487" s="646" t="s">
        <v>24</v>
      </c>
      <c r="I487" s="646"/>
      <c r="J487" s="646"/>
      <c r="K487" s="646"/>
      <c r="L487" s="42"/>
      <c r="M487" s="42"/>
      <c r="N487" s="42"/>
      <c r="O487" s="42">
        <v>145</v>
      </c>
      <c r="P487" s="42"/>
      <c r="Q487" s="42"/>
      <c r="R487" s="42"/>
      <c r="S487" s="42"/>
      <c r="T487" s="410"/>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55">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09">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09">
        <f>IF(NFI_Expiration=1,IF($A487&lt;VLOOKUP(X$5,NFI,5,0),1,0)*Data_NFI_t[[#This Row],[Solar Lantern]],0)</f>
        <v>0</v>
      </c>
      <c r="AT487" s="105" t="str">
        <f ca="1">IFERROR(OFFSET(Camp_List[P_Code],MATCH(Data_NFI_t[[#This Row],[Camp Name]],Camp_List[Camp Name],0)-1,0,1,1),"")</f>
        <v>MMR012CMP002</v>
      </c>
      <c r="AU487" s="412" t="str">
        <f ca="1">IFERROR(OFFSET(Camp_List[Status],MATCH(Data_NFI_t[[#This Row],[Camp Name]],Camp_List[Camp Name],0)-1,0,1,1),"")</f>
        <v>Returned</v>
      </c>
      <c r="AV487" s="105"/>
    </row>
    <row r="488" spans="1:48" s="78" customFormat="1" ht="19.5" customHeight="1" x14ac:dyDescent="0.25">
      <c r="A488" s="208">
        <f t="shared" si="10"/>
        <v>73.333333333333329</v>
      </c>
      <c r="B488" s="208">
        <f>YEAR(Data_NFI_t[[#This Row],[Distribution Date]])</f>
        <v>2012</v>
      </c>
      <c r="C488" s="719">
        <v>41234</v>
      </c>
      <c r="D488" s="395" t="s">
        <v>270</v>
      </c>
      <c r="E488" s="394"/>
      <c r="F488" s="395" t="s">
        <v>7</v>
      </c>
      <c r="G488" s="646" t="s">
        <v>932</v>
      </c>
      <c r="H488" s="646" t="s">
        <v>32</v>
      </c>
      <c r="I488" s="646"/>
      <c r="J488" s="646"/>
      <c r="K488" s="646"/>
      <c r="L488" s="42"/>
      <c r="M488" s="42"/>
      <c r="N488" s="42"/>
      <c r="O488" s="42">
        <v>83</v>
      </c>
      <c r="P488" s="42"/>
      <c r="Q488" s="42"/>
      <c r="R488" s="42"/>
      <c r="S488" s="42"/>
      <c r="T488" s="410"/>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55">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09">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09">
        <f>IF(NFI_Expiration=1,IF($A488&lt;VLOOKUP(X$5,NFI,5,0),1,0)*Data_NFI_t[[#This Row],[Solar Lantern]],0)</f>
        <v>0</v>
      </c>
      <c r="AT488" s="105" t="str">
        <f ca="1">IFERROR(OFFSET(Camp_List[P_Code],MATCH(Data_NFI_t[[#This Row],[Camp Name]],Camp_List[Camp Name],0)-1,0,1,1),"")</f>
        <v>MMR012CMP010</v>
      </c>
      <c r="AU488" s="412" t="str">
        <f ca="1">IFERROR(OFFSET(Camp_List[Status],MATCH(Data_NFI_t[[#This Row],[Camp Name]],Camp_List[Camp Name],0)-1,0,1,1),"")</f>
        <v>Returned</v>
      </c>
      <c r="AV488" s="105"/>
    </row>
    <row r="489" spans="1:48" s="78" customFormat="1" ht="19.5" customHeight="1" x14ac:dyDescent="0.25">
      <c r="A489" s="208">
        <f t="shared" si="10"/>
        <v>73.400000000000006</v>
      </c>
      <c r="B489" s="208">
        <f>YEAR(Data_NFI_t[[#This Row],[Distribution Date]])</f>
        <v>2012</v>
      </c>
      <c r="C489" s="719">
        <v>41232</v>
      </c>
      <c r="D489" s="395" t="s">
        <v>270</v>
      </c>
      <c r="E489" s="394"/>
      <c r="F489" s="395" t="s">
        <v>7</v>
      </c>
      <c r="G489" s="646" t="s">
        <v>13</v>
      </c>
      <c r="H489" s="646" t="s">
        <v>38</v>
      </c>
      <c r="I489" s="646"/>
      <c r="J489" s="646"/>
      <c r="K489" s="646"/>
      <c r="L489" s="42"/>
      <c r="M489" s="42"/>
      <c r="N489" s="42"/>
      <c r="O489" s="42">
        <v>458</v>
      </c>
      <c r="P489" s="42">
        <v>148</v>
      </c>
      <c r="Q489" s="42"/>
      <c r="R489" s="42"/>
      <c r="S489" s="42"/>
      <c r="T489" s="410"/>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55">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09">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09">
        <f>IF(NFI_Expiration=1,IF($A489&lt;VLOOKUP(X$5,NFI,5,0),1,0)*Data_NFI_t[[#This Row],[Solar Lantern]],0)</f>
        <v>0</v>
      </c>
      <c r="AT489" s="105" t="str">
        <f ca="1">IFERROR(OFFSET(Camp_List[P_Code],MATCH(Data_NFI_t[[#This Row],[Camp Name]],Camp_List[Camp Name],0)-1,0,1,1),"")</f>
        <v>MMR012CMP016</v>
      </c>
      <c r="AU489" s="412" t="str">
        <f ca="1">IFERROR(OFFSET(Camp_List[Status],MATCH(Data_NFI_t[[#This Row],[Camp Name]],Camp_List[Camp Name],0)-1,0,1,1),"")</f>
        <v>Open</v>
      </c>
      <c r="AV489" s="105"/>
    </row>
    <row r="490" spans="1:48" s="78" customFormat="1" ht="19.5" customHeight="1" x14ac:dyDescent="0.25">
      <c r="A490" s="208">
        <f t="shared" si="10"/>
        <v>73.400000000000006</v>
      </c>
      <c r="B490" s="208">
        <f>YEAR(Data_NFI_t[[#This Row],[Distribution Date]])</f>
        <v>2012</v>
      </c>
      <c r="C490" s="719">
        <v>41232</v>
      </c>
      <c r="D490" s="395" t="s">
        <v>270</v>
      </c>
      <c r="E490" s="394"/>
      <c r="F490" s="395" t="s">
        <v>7</v>
      </c>
      <c r="G490" s="646" t="s">
        <v>13</v>
      </c>
      <c r="H490" s="646" t="s">
        <v>40</v>
      </c>
      <c r="I490" s="646"/>
      <c r="J490" s="646"/>
      <c r="K490" s="646"/>
      <c r="L490" s="42"/>
      <c r="M490" s="42"/>
      <c r="N490" s="42">
        <v>769</v>
      </c>
      <c r="O490" s="42">
        <v>369</v>
      </c>
      <c r="P490" s="42">
        <v>1538</v>
      </c>
      <c r="Q490" s="42">
        <v>769</v>
      </c>
      <c r="R490" s="42"/>
      <c r="S490" s="42"/>
      <c r="T490" s="410"/>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55">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09">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09">
        <f>IF(NFI_Expiration=1,IF($A490&lt;VLOOKUP(X$5,NFI,5,0),1,0)*Data_NFI_t[[#This Row],[Solar Lantern]],0)</f>
        <v>0</v>
      </c>
      <c r="AT490" s="105" t="str">
        <f ca="1">IFERROR(OFFSET(Camp_List[P_Code],MATCH(Data_NFI_t[[#This Row],[Camp Name]],Camp_List[Camp Name],0)-1,0,1,1),"")</f>
        <v>MMR012CMP018</v>
      </c>
      <c r="AU490" s="412" t="str">
        <f ca="1">IFERROR(OFFSET(Camp_List[Status],MATCH(Data_NFI_t[[#This Row],[Camp Name]],Camp_List[Camp Name],0)-1,0,1,1),"")</f>
        <v>Open</v>
      </c>
      <c r="AV490" s="105"/>
    </row>
    <row r="491" spans="1:48" s="78" customFormat="1" ht="19.5" customHeight="1" x14ac:dyDescent="0.25">
      <c r="A491" s="208">
        <f t="shared" si="10"/>
        <v>73.400000000000006</v>
      </c>
      <c r="B491" s="208">
        <f>YEAR(Data_NFI_t[[#This Row],[Distribution Date]])</f>
        <v>2012</v>
      </c>
      <c r="C491" s="719">
        <v>41232</v>
      </c>
      <c r="D491" s="395" t="s">
        <v>270</v>
      </c>
      <c r="E491" s="394"/>
      <c r="F491" s="395" t="s">
        <v>7</v>
      </c>
      <c r="G491" s="646" t="s">
        <v>13</v>
      </c>
      <c r="H491" s="646" t="s">
        <v>39</v>
      </c>
      <c r="I491" s="646"/>
      <c r="J491" s="646"/>
      <c r="K491" s="646"/>
      <c r="L491" s="42"/>
      <c r="M491" s="42"/>
      <c r="N491" s="42">
        <v>1306</v>
      </c>
      <c r="O491" s="42">
        <v>506</v>
      </c>
      <c r="P491" s="42">
        <v>1306</v>
      </c>
      <c r="Q491" s="42">
        <v>1306</v>
      </c>
      <c r="R491" s="42"/>
      <c r="S491" s="42"/>
      <c r="T491" s="410"/>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55">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09">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09">
        <f>IF(NFI_Expiration=1,IF($A491&lt;VLOOKUP(X$5,NFI,5,0),1,0)*Data_NFI_t[[#This Row],[Solar Lantern]],0)</f>
        <v>0</v>
      </c>
      <c r="AT491" s="105" t="str">
        <f ca="1">IFERROR(OFFSET(Camp_List[P_Code],MATCH(Data_NFI_t[[#This Row],[Camp Name]],Camp_List[Camp Name],0)-1,0,1,1),"")</f>
        <v/>
      </c>
      <c r="AU491" s="412" t="str">
        <f ca="1">IFERROR(OFFSET(Camp_List[Status],MATCH(Data_NFI_t[[#This Row],[Camp Name]],Camp_List[Camp Name],0)-1,0,1,1),"")</f>
        <v/>
      </c>
      <c r="AV491" s="105"/>
    </row>
    <row r="492" spans="1:48" s="78" customFormat="1" ht="19.5" customHeight="1" x14ac:dyDescent="0.25">
      <c r="A492" s="208">
        <f t="shared" si="10"/>
        <v>73.400000000000006</v>
      </c>
      <c r="B492" s="208">
        <f>YEAR(Data_NFI_t[[#This Row],[Distribution Date]])</f>
        <v>2012</v>
      </c>
      <c r="C492" s="719">
        <v>41232</v>
      </c>
      <c r="D492" s="395" t="s">
        <v>270</v>
      </c>
      <c r="E492" s="394"/>
      <c r="F492" s="395" t="s">
        <v>7</v>
      </c>
      <c r="G492" s="646" t="s">
        <v>16</v>
      </c>
      <c r="H492" s="646" t="s">
        <v>58</v>
      </c>
      <c r="I492" s="646"/>
      <c r="J492" s="646"/>
      <c r="K492" s="646"/>
      <c r="L492" s="42"/>
      <c r="M492" s="42"/>
      <c r="N492" s="42">
        <v>26</v>
      </c>
      <c r="O492" s="42">
        <v>13</v>
      </c>
      <c r="P492" s="42">
        <v>26</v>
      </c>
      <c r="Q492" s="42">
        <v>13</v>
      </c>
      <c r="R492" s="42"/>
      <c r="S492" s="42"/>
      <c r="T492" s="410"/>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55">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09">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09">
        <f>IF(NFI_Expiration=1,IF($A492&lt;VLOOKUP(X$5,NFI,5,0),1,0)*Data_NFI_t[[#This Row],[Solar Lantern]],0)</f>
        <v>0</v>
      </c>
      <c r="AT492" s="105" t="str">
        <f ca="1">IFERROR(OFFSET(Camp_List[P_Code],MATCH(Data_NFI_t[[#This Row],[Camp Name]],Camp_List[Camp Name],0)-1,0,1,1),"")</f>
        <v>MMR012CMP038</v>
      </c>
      <c r="AU492" s="412" t="str">
        <f ca="1">IFERROR(OFFSET(Camp_List[Status],MATCH(Data_NFI_t[[#This Row],[Camp Name]],Camp_List[Camp Name],0)-1,0,1,1),"")</f>
        <v>Close</v>
      </c>
      <c r="AV492" s="105"/>
    </row>
    <row r="493" spans="1:48" s="78" customFormat="1" ht="19.5" customHeight="1" x14ac:dyDescent="0.25">
      <c r="A493" s="208">
        <f t="shared" si="10"/>
        <v>73.400000000000006</v>
      </c>
      <c r="B493" s="208">
        <f>YEAR(Data_NFI_t[[#This Row],[Distribution Date]])</f>
        <v>2012</v>
      </c>
      <c r="C493" s="719">
        <v>41232</v>
      </c>
      <c r="D493" s="395" t="s">
        <v>270</v>
      </c>
      <c r="E493" s="394"/>
      <c r="F493" s="395" t="s">
        <v>7</v>
      </c>
      <c r="G493" s="646" t="s">
        <v>16</v>
      </c>
      <c r="H493" s="646" t="s">
        <v>57</v>
      </c>
      <c r="I493" s="646"/>
      <c r="J493" s="646"/>
      <c r="K493" s="646"/>
      <c r="L493" s="42"/>
      <c r="M493" s="42"/>
      <c r="N493" s="42">
        <v>194</v>
      </c>
      <c r="O493" s="42">
        <v>97</v>
      </c>
      <c r="P493" s="42">
        <v>194</v>
      </c>
      <c r="Q493" s="42">
        <v>97</v>
      </c>
      <c r="R493" s="42"/>
      <c r="S493" s="42"/>
      <c r="T493" s="410"/>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55">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09">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09">
        <f>IF(NFI_Expiration=1,IF($A493&lt;VLOOKUP(X$5,NFI,5,0),1,0)*Data_NFI_t[[#This Row],[Solar Lantern]],0)</f>
        <v>0</v>
      </c>
      <c r="AT493" s="105" t="str">
        <f ca="1">IFERROR(OFFSET(Camp_List[P_Code],MATCH(Data_NFI_t[[#This Row],[Camp Name]],Camp_List[Camp Name],0)-1,0,1,1),"")</f>
        <v>MMR012CMP037</v>
      </c>
      <c r="AU493" s="412" t="str">
        <f ca="1">IFERROR(OFFSET(Camp_List[Status],MATCH(Data_NFI_t[[#This Row],[Camp Name]],Camp_List[Camp Name],0)-1,0,1,1),"")</f>
        <v>Close</v>
      </c>
      <c r="AV493" s="105"/>
    </row>
    <row r="494" spans="1:48" s="78" customFormat="1" ht="19.5" customHeight="1" x14ac:dyDescent="0.25">
      <c r="A494" s="208">
        <f t="shared" si="10"/>
        <v>73.400000000000006</v>
      </c>
      <c r="B494" s="208">
        <f>YEAR(Data_NFI_t[[#This Row],[Distribution Date]])</f>
        <v>2012</v>
      </c>
      <c r="C494" s="719">
        <v>41232</v>
      </c>
      <c r="D494" s="395" t="s">
        <v>270</v>
      </c>
      <c r="E494" s="394"/>
      <c r="F494" s="395" t="s">
        <v>7</v>
      </c>
      <c r="G494" s="646" t="s">
        <v>13</v>
      </c>
      <c r="H494" s="646" t="s">
        <v>41</v>
      </c>
      <c r="I494" s="646"/>
      <c r="J494" s="646"/>
      <c r="K494" s="646"/>
      <c r="L494" s="42"/>
      <c r="M494" s="42"/>
      <c r="N494" s="42"/>
      <c r="O494" s="42">
        <v>362</v>
      </c>
      <c r="P494" s="42"/>
      <c r="Q494" s="42"/>
      <c r="R494" s="42"/>
      <c r="S494" s="42"/>
      <c r="T494" s="410"/>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55">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09">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09">
        <f>IF(NFI_Expiration=1,IF($A494&lt;VLOOKUP(X$5,NFI,5,0),1,0)*Data_NFI_t[[#This Row],[Solar Lantern]],0)</f>
        <v>0</v>
      </c>
      <c r="AT494" s="105" t="str">
        <f ca="1">IFERROR(OFFSET(Camp_List[P_Code],MATCH(Data_NFI_t[[#This Row],[Camp Name]],Camp_List[Camp Name],0)-1,0,1,1),"")</f>
        <v>MMR012CMP019</v>
      </c>
      <c r="AU494" s="412" t="str">
        <f ca="1">IFERROR(OFFSET(Camp_List[Status],MATCH(Data_NFI_t[[#This Row],[Camp Name]],Camp_List[Camp Name],0)-1,0,1,1),"")</f>
        <v>Open</v>
      </c>
      <c r="AV494" s="105"/>
    </row>
    <row r="495" spans="1:48" s="78" customFormat="1" ht="19.5" customHeight="1" x14ac:dyDescent="0.25">
      <c r="A495" s="208">
        <f t="shared" si="10"/>
        <v>73.933333333333337</v>
      </c>
      <c r="B495" s="208">
        <f>YEAR(Data_NFI_t[[#This Row],[Distribution Date]])</f>
        <v>2012</v>
      </c>
      <c r="C495" s="719">
        <v>41216</v>
      </c>
      <c r="D495" s="395" t="s">
        <v>270</v>
      </c>
      <c r="E495" s="394"/>
      <c r="F495" s="395" t="s">
        <v>7</v>
      </c>
      <c r="G495" s="646" t="s">
        <v>13</v>
      </c>
      <c r="H495" s="646" t="s">
        <v>41</v>
      </c>
      <c r="I495" s="646"/>
      <c r="J495" s="646"/>
      <c r="K495" s="646"/>
      <c r="L495" s="42"/>
      <c r="M495" s="42"/>
      <c r="N495" s="42">
        <v>862</v>
      </c>
      <c r="O495" s="42">
        <v>500</v>
      </c>
      <c r="P495" s="42">
        <v>862</v>
      </c>
      <c r="Q495" s="42">
        <v>862</v>
      </c>
      <c r="R495" s="42"/>
      <c r="S495" s="42"/>
      <c r="T495" s="410"/>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55">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09">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09">
        <f>IF(NFI_Expiration=1,IF($A495&lt;VLOOKUP(X$5,NFI,5,0),1,0)*Data_NFI_t[[#This Row],[Solar Lantern]],0)</f>
        <v>0</v>
      </c>
      <c r="AT495" s="105" t="str">
        <f ca="1">IFERROR(OFFSET(Camp_List[P_Code],MATCH(Data_NFI_t[[#This Row],[Camp Name]],Camp_List[Camp Name],0)-1,0,1,1),"")</f>
        <v>MMR012CMP019</v>
      </c>
      <c r="AU495" s="412" t="str">
        <f ca="1">IFERROR(OFFSET(Camp_List[Status],MATCH(Data_NFI_t[[#This Row],[Camp Name]],Camp_List[Camp Name],0)-1,0,1,1),"")</f>
        <v>Open</v>
      </c>
      <c r="AV495" s="105"/>
    </row>
    <row r="496" spans="1:48" s="78" customFormat="1" ht="19.5" customHeight="1" x14ac:dyDescent="0.25">
      <c r="A496" s="208">
        <f t="shared" si="10"/>
        <v>73.966666666666669</v>
      </c>
      <c r="B496" s="208">
        <f>YEAR(Data_NFI_t[[#This Row],[Distribution Date]])</f>
        <v>2012</v>
      </c>
      <c r="C496" s="719">
        <v>41215</v>
      </c>
      <c r="D496" s="395" t="s">
        <v>270</v>
      </c>
      <c r="E496" s="394"/>
      <c r="F496" s="395" t="s">
        <v>7</v>
      </c>
      <c r="G496" s="646" t="s">
        <v>14</v>
      </c>
      <c r="H496" s="646" t="s">
        <v>47</v>
      </c>
      <c r="I496" s="646"/>
      <c r="J496" s="646"/>
      <c r="K496" s="646"/>
      <c r="L496" s="42"/>
      <c r="M496" s="42"/>
      <c r="N496" s="42"/>
      <c r="O496" s="42">
        <v>85</v>
      </c>
      <c r="P496" s="42"/>
      <c r="Q496" s="42"/>
      <c r="R496" s="42"/>
      <c r="S496" s="42"/>
      <c r="T496" s="410"/>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55">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09">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09">
        <f>IF(NFI_Expiration=1,IF($A496&lt;VLOOKUP(X$5,NFI,5,0),1,0)*Data_NFI_t[[#This Row],[Solar Lantern]],0)</f>
        <v>0</v>
      </c>
      <c r="AT496" s="105" t="str">
        <f ca="1">IFERROR(OFFSET(Camp_List[P_Code],MATCH(Data_NFI_t[[#This Row],[Camp Name]],Camp_List[Camp Name],0)-1,0,1,1),"")</f>
        <v>MMR012CMP025</v>
      </c>
      <c r="AU496" s="412" t="str">
        <f ca="1">IFERROR(OFFSET(Camp_List[Status],MATCH(Data_NFI_t[[#This Row],[Camp Name]],Camp_List[Camp Name],0)-1,0,1,1),"")</f>
        <v>Returned</v>
      </c>
      <c r="AV496" s="105"/>
    </row>
    <row r="497" spans="1:48" s="78" customFormat="1" ht="19.5" customHeight="1" x14ac:dyDescent="0.25">
      <c r="A497" s="208">
        <f t="shared" si="10"/>
        <v>74</v>
      </c>
      <c r="B497" s="208">
        <f>YEAR(Data_NFI_t[[#This Row],[Distribution Date]])</f>
        <v>2012</v>
      </c>
      <c r="C497" s="719">
        <v>41214</v>
      </c>
      <c r="D497" s="395" t="s">
        <v>270</v>
      </c>
      <c r="E497" s="394"/>
      <c r="F497" s="395" t="s">
        <v>7</v>
      </c>
      <c r="G497" s="646" t="s">
        <v>814</v>
      </c>
      <c r="H497" s="646" t="s">
        <v>36</v>
      </c>
      <c r="I497" s="646"/>
      <c r="J497" s="646"/>
      <c r="K497" s="646"/>
      <c r="L497" s="42"/>
      <c r="M497" s="42"/>
      <c r="N497" s="42"/>
      <c r="O497" s="42">
        <v>146</v>
      </c>
      <c r="P497" s="42"/>
      <c r="Q497" s="42">
        <v>146</v>
      </c>
      <c r="R497" s="42"/>
      <c r="S497" s="42"/>
      <c r="T497" s="410"/>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55">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09">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09">
        <f>IF(NFI_Expiration=1,IF($A497&lt;VLOOKUP(X$5,NFI,5,0),1,0)*Data_NFI_t[[#This Row],[Solar Lantern]],0)</f>
        <v>0</v>
      </c>
      <c r="AT497" s="105" t="str">
        <f ca="1">IFERROR(OFFSET(Camp_List[P_Code],MATCH(Data_NFI_t[[#This Row],[Camp Name]],Camp_List[Camp Name],0)-1,0,1,1),"")</f>
        <v>MMR012CMP014</v>
      </c>
      <c r="AU497" s="412" t="str">
        <f ca="1">IFERROR(OFFSET(Camp_List[Status],MATCH(Data_NFI_t[[#This Row],[Camp Name]],Camp_List[Camp Name],0)-1,0,1,1),"")</f>
        <v>Open</v>
      </c>
      <c r="AV497" s="105"/>
    </row>
    <row r="498" spans="1:48" s="78" customFormat="1" ht="19.5" customHeight="1" x14ac:dyDescent="0.25">
      <c r="A498" s="208">
        <f t="shared" si="10"/>
        <v>74.033333333333331</v>
      </c>
      <c r="B498" s="208">
        <f>YEAR(Data_NFI_t[[#This Row],[Distribution Date]])</f>
        <v>2012</v>
      </c>
      <c r="C498" s="719">
        <v>41213</v>
      </c>
      <c r="D498" s="395" t="s">
        <v>270</v>
      </c>
      <c r="E498" s="394"/>
      <c r="F498" s="395" t="s">
        <v>7</v>
      </c>
      <c r="G498" s="646" t="s">
        <v>11</v>
      </c>
      <c r="H498" s="646" t="s">
        <v>28</v>
      </c>
      <c r="I498" s="646"/>
      <c r="J498" s="646"/>
      <c r="K498" s="646"/>
      <c r="L498" s="42"/>
      <c r="M498" s="42"/>
      <c r="N498" s="42"/>
      <c r="O498" s="42">
        <v>40</v>
      </c>
      <c r="P498" s="42"/>
      <c r="Q498" s="42"/>
      <c r="R498" s="42"/>
      <c r="S498" s="42"/>
      <c r="T498" s="410"/>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55">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09">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09">
        <f>IF(NFI_Expiration=1,IF($A498&lt;VLOOKUP(X$5,NFI,5,0),1,0)*Data_NFI_t[[#This Row],[Solar Lantern]],0)</f>
        <v>0</v>
      </c>
      <c r="AT498" s="105" t="str">
        <f ca="1">IFERROR(OFFSET(Camp_List[P_Code],MATCH(Data_NFI_t[[#This Row],[Camp Name]],Camp_List[Camp Name],0)-1,0,1,1),"")</f>
        <v>MMR012CMP006</v>
      </c>
      <c r="AU498" s="412" t="str">
        <f ca="1">IFERROR(OFFSET(Camp_List[Status],MATCH(Data_NFI_t[[#This Row],[Camp Name]],Camp_List[Camp Name],0)-1,0,1,1),"")</f>
        <v>Returned</v>
      </c>
      <c r="AV498" s="105"/>
    </row>
    <row r="499" spans="1:48" s="78" customFormat="1" ht="19.5" customHeight="1" x14ac:dyDescent="0.25">
      <c r="A499" s="208">
        <f t="shared" si="10"/>
        <v>74.033333333333331</v>
      </c>
      <c r="B499" s="208">
        <f>YEAR(Data_NFI_t[[#This Row],[Distribution Date]])</f>
        <v>2012</v>
      </c>
      <c r="C499" s="719">
        <v>41213</v>
      </c>
      <c r="D499" s="395" t="s">
        <v>270</v>
      </c>
      <c r="E499" s="394"/>
      <c r="F499" s="395" t="s">
        <v>7</v>
      </c>
      <c r="G499" s="646" t="s">
        <v>11</v>
      </c>
      <c r="H499" s="646" t="s">
        <v>26</v>
      </c>
      <c r="I499" s="646"/>
      <c r="J499" s="646"/>
      <c r="K499" s="646"/>
      <c r="L499" s="42"/>
      <c r="M499" s="42"/>
      <c r="N499" s="42"/>
      <c r="O499" s="42">
        <v>100</v>
      </c>
      <c r="P499" s="42"/>
      <c r="Q499" s="42"/>
      <c r="R499" s="42"/>
      <c r="S499" s="42"/>
      <c r="T499" s="410"/>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55">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09">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09">
        <f>IF(NFI_Expiration=1,IF($A499&lt;VLOOKUP(X$5,NFI,5,0),1,0)*Data_NFI_t[[#This Row],[Solar Lantern]],0)</f>
        <v>0</v>
      </c>
      <c r="AT499" s="105" t="str">
        <f ca="1">IFERROR(OFFSET(Camp_List[P_Code],MATCH(Data_NFI_t[[#This Row],[Camp Name]],Camp_List[Camp Name],0)-1,0,1,1),"")</f>
        <v>MMR012CMP004</v>
      </c>
      <c r="AU499" s="412" t="str">
        <f ca="1">IFERROR(OFFSET(Camp_List[Status],MATCH(Data_NFI_t[[#This Row],[Camp Name]],Camp_List[Camp Name],0)-1,0,1,1),"")</f>
        <v>Close</v>
      </c>
      <c r="AV499" s="105"/>
    </row>
    <row r="500" spans="1:48" s="78" customFormat="1" ht="19.5" customHeight="1" x14ac:dyDescent="0.25">
      <c r="A500" s="208">
        <f t="shared" si="10"/>
        <v>74.033333333333331</v>
      </c>
      <c r="B500" s="208">
        <f>YEAR(Data_NFI_t[[#This Row],[Distribution Date]])</f>
        <v>2012</v>
      </c>
      <c r="C500" s="719">
        <v>41213</v>
      </c>
      <c r="D500" s="395" t="s">
        <v>270</v>
      </c>
      <c r="E500" s="394"/>
      <c r="F500" s="395" t="s">
        <v>7</v>
      </c>
      <c r="G500" s="646" t="s">
        <v>932</v>
      </c>
      <c r="H500" s="646" t="s">
        <v>31</v>
      </c>
      <c r="I500" s="646"/>
      <c r="J500" s="646"/>
      <c r="K500" s="646"/>
      <c r="L500" s="42"/>
      <c r="M500" s="42"/>
      <c r="N500" s="42"/>
      <c r="O500" s="42">
        <v>100</v>
      </c>
      <c r="P500" s="42"/>
      <c r="Q500" s="42"/>
      <c r="R500" s="42"/>
      <c r="S500" s="42"/>
      <c r="T500" s="410"/>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55">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09">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09">
        <f>IF(NFI_Expiration=1,IF($A500&lt;VLOOKUP(X$5,NFI,5,0),1,0)*Data_NFI_t[[#This Row],[Solar Lantern]],0)</f>
        <v>0</v>
      </c>
      <c r="AT500" s="105" t="str">
        <f ca="1">IFERROR(OFFSET(Camp_List[P_Code],MATCH(Data_NFI_t[[#This Row],[Camp Name]],Camp_List[Camp Name],0)-1,0,1,1),"")</f>
        <v>MMR012CMP009</v>
      </c>
      <c r="AU500" s="412" t="str">
        <f ca="1">IFERROR(OFFSET(Camp_List[Status],MATCH(Data_NFI_t[[#This Row],[Camp Name]],Camp_List[Camp Name],0)-1,0,1,1),"")</f>
        <v>Returned</v>
      </c>
      <c r="AV500" s="105"/>
    </row>
    <row r="501" spans="1:48" s="78" customFormat="1" ht="19.5" customHeight="1" x14ac:dyDescent="0.25">
      <c r="A501" s="208">
        <f t="shared" si="10"/>
        <v>74.833333333333329</v>
      </c>
      <c r="B501" s="208">
        <f>YEAR(Data_NFI_t[[#This Row],[Distribution Date]])</f>
        <v>2012</v>
      </c>
      <c r="C501" s="719">
        <v>41189</v>
      </c>
      <c r="D501" s="395" t="s">
        <v>270</v>
      </c>
      <c r="E501" s="394"/>
      <c r="F501" s="395" t="s">
        <v>7</v>
      </c>
      <c r="G501" s="646" t="s">
        <v>14</v>
      </c>
      <c r="H501" s="646" t="s">
        <v>46</v>
      </c>
      <c r="I501" s="646"/>
      <c r="J501" s="646"/>
      <c r="K501" s="646"/>
      <c r="L501" s="42"/>
      <c r="M501" s="42"/>
      <c r="N501" s="42"/>
      <c r="O501" s="42">
        <v>90</v>
      </c>
      <c r="P501" s="42"/>
      <c r="Q501" s="42"/>
      <c r="R501" s="42"/>
      <c r="S501" s="42"/>
      <c r="T501" s="410"/>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55">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09">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09">
        <f>IF(NFI_Expiration=1,IF($A501&lt;VLOOKUP(X$5,NFI,5,0),1,0)*Data_NFI_t[[#This Row],[Solar Lantern]],0)</f>
        <v>0</v>
      </c>
      <c r="AT501" s="105" t="str">
        <f ca="1">IFERROR(OFFSET(Camp_List[P_Code],MATCH(Data_NFI_t[[#This Row],[Camp Name]],Camp_List[Camp Name],0)-1,0,1,1),"")</f>
        <v>MMR012CMP024</v>
      </c>
      <c r="AU501" s="412" t="str">
        <f ca="1">IFERROR(OFFSET(Camp_List[Status],MATCH(Data_NFI_t[[#This Row],[Camp Name]],Camp_List[Camp Name],0)-1,0,1,1),"")</f>
        <v>Returned</v>
      </c>
      <c r="AV501" s="105"/>
    </row>
    <row r="502" spans="1:48" s="78" customFormat="1" ht="19.5" customHeight="1" x14ac:dyDescent="0.25">
      <c r="A502" s="208">
        <f t="shared" si="10"/>
        <v>74.833333333333329</v>
      </c>
      <c r="B502" s="208">
        <f>YEAR(Data_NFI_t[[#This Row],[Distribution Date]])</f>
        <v>2012</v>
      </c>
      <c r="C502" s="719">
        <v>41189</v>
      </c>
      <c r="D502" s="395" t="s">
        <v>270</v>
      </c>
      <c r="E502" s="394"/>
      <c r="F502" s="395" t="s">
        <v>7</v>
      </c>
      <c r="G502" s="646" t="s">
        <v>14</v>
      </c>
      <c r="H502" s="646" t="s">
        <v>276</v>
      </c>
      <c r="I502" s="646"/>
      <c r="J502" s="646"/>
      <c r="K502" s="646"/>
      <c r="L502" s="42"/>
      <c r="M502" s="42"/>
      <c r="N502" s="42"/>
      <c r="O502" s="42">
        <v>97</v>
      </c>
      <c r="P502" s="42"/>
      <c r="Q502" s="42"/>
      <c r="R502" s="42"/>
      <c r="S502" s="42"/>
      <c r="T502" s="410"/>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55">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09">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09">
        <f>IF(NFI_Expiration=1,IF($A502&lt;VLOOKUP(X$5,NFI,5,0),1,0)*Data_NFI_t[[#This Row],[Solar Lantern]],0)</f>
        <v>0</v>
      </c>
      <c r="AT502" s="105" t="str">
        <f ca="1">IFERROR(OFFSET(Camp_List[P_Code],MATCH(Data_NFI_t[[#This Row],[Camp Name]],Camp_List[Camp Name],0)-1,0,1,1),"")</f>
        <v/>
      </c>
      <c r="AU502" s="412" t="str">
        <f ca="1">IFERROR(OFFSET(Camp_List[Status],MATCH(Data_NFI_t[[#This Row],[Camp Name]],Camp_List[Camp Name],0)-1,0,1,1),"")</f>
        <v/>
      </c>
      <c r="AV502" s="105"/>
    </row>
    <row r="503" spans="1:48" s="78" customFormat="1" ht="19.5" customHeight="1" x14ac:dyDescent="0.25">
      <c r="A503" s="208">
        <f t="shared" si="10"/>
        <v>74.86666666666666</v>
      </c>
      <c r="B503" s="208">
        <f>YEAR(Data_NFI_t[[#This Row],[Distribution Date]])</f>
        <v>2012</v>
      </c>
      <c r="C503" s="719">
        <v>41188</v>
      </c>
      <c r="D503" s="395" t="s">
        <v>270</v>
      </c>
      <c r="E503" s="394"/>
      <c r="F503" s="395" t="s">
        <v>7</v>
      </c>
      <c r="G503" s="646" t="s">
        <v>17</v>
      </c>
      <c r="H503" s="646" t="s">
        <v>261</v>
      </c>
      <c r="I503" s="646"/>
      <c r="J503" s="646"/>
      <c r="K503" s="646"/>
      <c r="L503" s="42"/>
      <c r="M503" s="42"/>
      <c r="N503" s="42"/>
      <c r="O503" s="42">
        <v>100</v>
      </c>
      <c r="P503" s="42"/>
      <c r="Q503" s="42"/>
      <c r="R503" s="42"/>
      <c r="S503" s="42"/>
      <c r="T503" s="410"/>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55">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09">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09">
        <f>IF(NFI_Expiration=1,IF($A503&lt;VLOOKUP(X$5,NFI,5,0),1,0)*Data_NFI_t[[#This Row],[Solar Lantern]],0)</f>
        <v>0</v>
      </c>
      <c r="AT503" s="105" t="str">
        <f ca="1">IFERROR(OFFSET(Camp_List[P_Code],MATCH(Data_NFI_t[[#This Row],[Camp Name]],Camp_List[Camp Name],0)-1,0,1,1),"")</f>
        <v/>
      </c>
      <c r="AU503" s="412" t="str">
        <f ca="1">IFERROR(OFFSET(Camp_List[Status],MATCH(Data_NFI_t[[#This Row],[Camp Name]],Camp_List[Camp Name],0)-1,0,1,1),"")</f>
        <v/>
      </c>
      <c r="AV503" s="105"/>
    </row>
    <row r="504" spans="1:48" s="78" customFormat="1" ht="19.5" customHeight="1" x14ac:dyDescent="0.25">
      <c r="A504" s="208">
        <f t="shared" si="10"/>
        <v>75.833333333333329</v>
      </c>
      <c r="B504" s="208">
        <f>YEAR(Data_NFI_t[[#This Row],[Distribution Date]])</f>
        <v>2012</v>
      </c>
      <c r="C504" s="719">
        <v>41159</v>
      </c>
      <c r="D504" s="395" t="s">
        <v>270</v>
      </c>
      <c r="E504" s="394"/>
      <c r="F504" s="395" t="s">
        <v>7</v>
      </c>
      <c r="G504" s="646" t="s">
        <v>17</v>
      </c>
      <c r="H504" s="646" t="s">
        <v>60</v>
      </c>
      <c r="I504" s="646"/>
      <c r="J504" s="646"/>
      <c r="K504" s="646"/>
      <c r="L504" s="42"/>
      <c r="M504" s="42"/>
      <c r="N504" s="42"/>
      <c r="O504" s="42">
        <v>55</v>
      </c>
      <c r="P504" s="42"/>
      <c r="Q504" s="42"/>
      <c r="R504" s="42"/>
      <c r="S504" s="42"/>
      <c r="T504" s="410"/>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55">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09">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09">
        <f>IF(NFI_Expiration=1,IF($A504&lt;VLOOKUP(X$5,NFI,5,0),1,0)*Data_NFI_t[[#This Row],[Solar Lantern]],0)</f>
        <v>0</v>
      </c>
      <c r="AT504" s="105" t="str">
        <f ca="1">IFERROR(OFFSET(Camp_List[P_Code],MATCH(Data_NFI_t[[#This Row],[Camp Name]],Camp_List[Camp Name],0)-1,0,1,1),"")</f>
        <v>MMR012CMP040</v>
      </c>
      <c r="AU504" s="412" t="str">
        <f ca="1">IFERROR(OFFSET(Camp_List[Status],MATCH(Data_NFI_t[[#This Row],[Camp Name]],Camp_List[Camp Name],0)-1,0,1,1),"")</f>
        <v>Close</v>
      </c>
      <c r="AV504" s="105"/>
    </row>
    <row r="505" spans="1:48" s="78" customFormat="1" ht="19.5" customHeight="1" x14ac:dyDescent="0.25">
      <c r="A505" s="208">
        <f t="shared" si="10"/>
        <v>75.900000000000006</v>
      </c>
      <c r="B505" s="208">
        <f>YEAR(Data_NFI_t[[#This Row],[Distribution Date]])</f>
        <v>2012</v>
      </c>
      <c r="C505" s="719">
        <v>41157</v>
      </c>
      <c r="D505" s="395" t="s">
        <v>270</v>
      </c>
      <c r="E505" s="394"/>
      <c r="F505" s="395" t="s">
        <v>7</v>
      </c>
      <c r="G505" s="646" t="s">
        <v>17</v>
      </c>
      <c r="H505" s="646" t="s">
        <v>60</v>
      </c>
      <c r="I505" s="646"/>
      <c r="J505" s="646"/>
      <c r="K505" s="646"/>
      <c r="L505" s="42"/>
      <c r="M505" s="42"/>
      <c r="N505" s="42"/>
      <c r="O505" s="42"/>
      <c r="P505" s="42">
        <v>65</v>
      </c>
      <c r="Q505" s="42"/>
      <c r="R505" s="42"/>
      <c r="S505" s="42"/>
      <c r="T505" s="410"/>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55">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09">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09">
        <f>IF(NFI_Expiration=1,IF($A505&lt;VLOOKUP(X$5,NFI,5,0),1,0)*Data_NFI_t[[#This Row],[Solar Lantern]],0)</f>
        <v>0</v>
      </c>
      <c r="AT505" s="105" t="str">
        <f ca="1">IFERROR(OFFSET(Camp_List[P_Code],MATCH(Data_NFI_t[[#This Row],[Camp Name]],Camp_List[Camp Name],0)-1,0,1,1),"")</f>
        <v>MMR012CMP040</v>
      </c>
      <c r="AU505" s="412" t="str">
        <f ca="1">IFERROR(OFFSET(Camp_List[Status],MATCH(Data_NFI_t[[#This Row],[Camp Name]],Camp_List[Camp Name],0)-1,0,1,1),"")</f>
        <v>Close</v>
      </c>
      <c r="AV505" s="105"/>
    </row>
    <row r="506" spans="1:48" s="78" customFormat="1" ht="19.5" customHeight="1" x14ac:dyDescent="0.25">
      <c r="A506" s="208">
        <f t="shared" si="10"/>
        <v>76.033333333333331</v>
      </c>
      <c r="B506" s="208">
        <f>YEAR(Data_NFI_t[[#This Row],[Distribution Date]])</f>
        <v>2012</v>
      </c>
      <c r="C506" s="719">
        <v>41153</v>
      </c>
      <c r="D506" s="395" t="s">
        <v>274</v>
      </c>
      <c r="E506" s="394" t="s">
        <v>270</v>
      </c>
      <c r="F506" s="395" t="s">
        <v>7</v>
      </c>
      <c r="G506" s="646" t="s">
        <v>17</v>
      </c>
      <c r="H506" s="646" t="s">
        <v>63</v>
      </c>
      <c r="I506" s="646"/>
      <c r="J506" s="646"/>
      <c r="K506" s="646"/>
      <c r="L506" s="42"/>
      <c r="M506" s="42"/>
      <c r="N506" s="42"/>
      <c r="O506" s="42"/>
      <c r="P506" s="42">
        <v>60</v>
      </c>
      <c r="Q506" s="42"/>
      <c r="R506" s="42"/>
      <c r="S506" s="42"/>
      <c r="T506" s="410"/>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55">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09">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09">
        <f>IF(NFI_Expiration=1,IF($A506&lt;VLOOKUP(X$5,NFI,5,0),1,0)*Data_NFI_t[[#This Row],[Solar Lantern]],0)</f>
        <v>0</v>
      </c>
      <c r="AT506" s="105" t="str">
        <f ca="1">IFERROR(OFFSET(Camp_List[P_Code],MATCH(Data_NFI_t[[#This Row],[Camp Name]],Camp_List[Camp Name],0)-1,0,1,1),"")</f>
        <v>MMR012CMP043</v>
      </c>
      <c r="AU506" s="412" t="str">
        <f ca="1">IFERROR(OFFSET(Camp_List[Status],MATCH(Data_NFI_t[[#This Row],[Camp Name]],Camp_List[Camp Name],0)-1,0,1,1),"")</f>
        <v>Close</v>
      </c>
      <c r="AV506" s="105"/>
    </row>
    <row r="507" spans="1:48" s="78" customFormat="1" ht="19.5" customHeight="1" x14ac:dyDescent="0.25">
      <c r="A507" s="208">
        <f t="shared" si="10"/>
        <v>76.266666666666666</v>
      </c>
      <c r="B507" s="208">
        <f>YEAR(Data_NFI_t[[#This Row],[Distribution Date]])</f>
        <v>2012</v>
      </c>
      <c r="C507" s="719">
        <v>41146</v>
      </c>
      <c r="D507" s="395" t="s">
        <v>270</v>
      </c>
      <c r="E507" s="394"/>
      <c r="F507" s="395" t="s">
        <v>7</v>
      </c>
      <c r="G507" s="646" t="s">
        <v>14</v>
      </c>
      <c r="H507" s="646" t="s">
        <v>49</v>
      </c>
      <c r="I507" s="646"/>
      <c r="J507" s="646"/>
      <c r="K507" s="646"/>
      <c r="L507" s="42"/>
      <c r="M507" s="42"/>
      <c r="N507" s="42"/>
      <c r="O507" s="42">
        <v>114</v>
      </c>
      <c r="P507" s="42"/>
      <c r="Q507" s="42"/>
      <c r="R507" s="42"/>
      <c r="S507" s="42"/>
      <c r="T507" s="410"/>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55">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09">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09">
        <f>IF(NFI_Expiration=1,IF($A507&lt;VLOOKUP(X$5,NFI,5,0),1,0)*Data_NFI_t[[#This Row],[Solar Lantern]],0)</f>
        <v>0</v>
      </c>
      <c r="AT507" s="105" t="str">
        <f ca="1">IFERROR(OFFSET(Camp_List[P_Code],MATCH(Data_NFI_t[[#This Row],[Camp Name]],Camp_List[Camp Name],0)-1,0,1,1),"")</f>
        <v>MMR012CMP027</v>
      </c>
      <c r="AU507" s="412" t="str">
        <f ca="1">IFERROR(OFFSET(Camp_List[Status],MATCH(Data_NFI_t[[#This Row],[Camp Name]],Camp_List[Camp Name],0)-1,0,1,1),"")</f>
        <v>Returned</v>
      </c>
      <c r="AV507" s="105"/>
    </row>
    <row r="508" spans="1:48" s="78" customFormat="1" ht="19.5" customHeight="1" x14ac:dyDescent="0.25">
      <c r="A508" s="208">
        <f t="shared" si="10"/>
        <v>76.266666666666666</v>
      </c>
      <c r="B508" s="208">
        <f>YEAR(Data_NFI_t[[#This Row],[Distribution Date]])</f>
        <v>2012</v>
      </c>
      <c r="C508" s="719">
        <v>41146</v>
      </c>
      <c r="D508" s="395" t="s">
        <v>270</v>
      </c>
      <c r="E508" s="394"/>
      <c r="F508" s="395" t="s">
        <v>7</v>
      </c>
      <c r="G508" s="646" t="s">
        <v>14</v>
      </c>
      <c r="H508" s="646" t="s">
        <v>48</v>
      </c>
      <c r="I508" s="646"/>
      <c r="J508" s="646"/>
      <c r="K508" s="646"/>
      <c r="L508" s="42"/>
      <c r="M508" s="42"/>
      <c r="N508" s="42"/>
      <c r="O508" s="42">
        <v>230</v>
      </c>
      <c r="P508" s="42"/>
      <c r="Q508" s="42"/>
      <c r="R508" s="42">
        <v>230</v>
      </c>
      <c r="S508" s="42"/>
      <c r="T508" s="410"/>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55">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09">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09">
        <f>IF(NFI_Expiration=1,IF($A508&lt;VLOOKUP(X$5,NFI,5,0),1,0)*Data_NFI_t[[#This Row],[Solar Lantern]],0)</f>
        <v>0</v>
      </c>
      <c r="AT508" s="105" t="str">
        <f ca="1">IFERROR(OFFSET(Camp_List[P_Code],MATCH(Data_NFI_t[[#This Row],[Camp Name]],Camp_List[Camp Name],0)-1,0,1,1),"")</f>
        <v>MMR012CMP026</v>
      </c>
      <c r="AU508" s="412" t="str">
        <f ca="1">IFERROR(OFFSET(Camp_List[Status],MATCH(Data_NFI_t[[#This Row],[Camp Name]],Camp_List[Camp Name],0)-1,0,1,1),"")</f>
        <v>Returned</v>
      </c>
      <c r="AV508" s="105"/>
    </row>
    <row r="509" spans="1:48" s="78" customFormat="1" ht="19.5" customHeight="1" x14ac:dyDescent="0.25">
      <c r="A509" s="208">
        <f t="shared" si="10"/>
        <v>76.266666666666666</v>
      </c>
      <c r="B509" s="208">
        <f>YEAR(Data_NFI_t[[#This Row],[Distribution Date]])</f>
        <v>2012</v>
      </c>
      <c r="C509" s="719">
        <v>41146</v>
      </c>
      <c r="D509" s="395" t="s">
        <v>270</v>
      </c>
      <c r="E509" s="394"/>
      <c r="F509" s="395" t="s">
        <v>7</v>
      </c>
      <c r="G509" s="646" t="s">
        <v>14</v>
      </c>
      <c r="H509" s="646" t="s">
        <v>51</v>
      </c>
      <c r="I509" s="646"/>
      <c r="J509" s="646"/>
      <c r="K509" s="646"/>
      <c r="L509" s="42"/>
      <c r="M509" s="42"/>
      <c r="N509" s="42"/>
      <c r="O509" s="42">
        <v>144</v>
      </c>
      <c r="P509" s="42">
        <v>290</v>
      </c>
      <c r="Q509" s="42">
        <v>40</v>
      </c>
      <c r="R509" s="42"/>
      <c r="S509" s="42"/>
      <c r="T509" s="410"/>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55">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09">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09">
        <f>IF(NFI_Expiration=1,IF($A509&lt;VLOOKUP(X$5,NFI,5,0),1,0)*Data_NFI_t[[#This Row],[Solar Lantern]],0)</f>
        <v>0</v>
      </c>
      <c r="AT509" s="105" t="str">
        <f ca="1">IFERROR(OFFSET(Camp_List[P_Code],MATCH(Data_NFI_t[[#This Row],[Camp Name]],Camp_List[Camp Name],0)-1,0,1,1),"")</f>
        <v>MMR012CMP029</v>
      </c>
      <c r="AU509" s="412" t="str">
        <f ca="1">IFERROR(OFFSET(Camp_List[Status],MATCH(Data_NFI_t[[#This Row],[Camp Name]],Camp_List[Camp Name],0)-1,0,1,1),"")</f>
        <v>Returned</v>
      </c>
      <c r="AV509" s="105"/>
    </row>
    <row r="510" spans="1:48" s="78" customFormat="1" ht="19.5" customHeight="1" x14ac:dyDescent="0.25">
      <c r="A510" s="208">
        <f t="shared" si="10"/>
        <v>76.266666666666666</v>
      </c>
      <c r="B510" s="208">
        <f>YEAR(Data_NFI_t[[#This Row],[Distribution Date]])</f>
        <v>2012</v>
      </c>
      <c r="C510" s="719">
        <v>41146</v>
      </c>
      <c r="D510" s="395" t="s">
        <v>270</v>
      </c>
      <c r="E510" s="394"/>
      <c r="F510" s="395" t="s">
        <v>7</v>
      </c>
      <c r="G510" s="646" t="s">
        <v>14</v>
      </c>
      <c r="H510" s="646" t="s">
        <v>50</v>
      </c>
      <c r="I510" s="646"/>
      <c r="J510" s="646"/>
      <c r="K510" s="646"/>
      <c r="L510" s="42"/>
      <c r="M510" s="42"/>
      <c r="N510" s="42"/>
      <c r="O510" s="42">
        <v>107</v>
      </c>
      <c r="P510" s="42"/>
      <c r="Q510" s="42"/>
      <c r="R510" s="42"/>
      <c r="S510" s="42"/>
      <c r="T510" s="410"/>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55">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09">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09">
        <f>IF(NFI_Expiration=1,IF($A510&lt;VLOOKUP(X$5,NFI,5,0),1,0)*Data_NFI_t[[#This Row],[Solar Lantern]],0)</f>
        <v>0</v>
      </c>
      <c r="AT510" s="105" t="str">
        <f ca="1">IFERROR(OFFSET(Camp_List[P_Code],MATCH(Data_NFI_t[[#This Row],[Camp Name]],Camp_List[Camp Name],0)-1,0,1,1),"")</f>
        <v>MMR012CMP028</v>
      </c>
      <c r="AU510" s="412" t="str">
        <f ca="1">IFERROR(OFFSET(Camp_List[Status],MATCH(Data_NFI_t[[#This Row],[Camp Name]],Camp_List[Camp Name],0)-1,0,1,1),"")</f>
        <v>Returned</v>
      </c>
      <c r="AV510" s="105"/>
    </row>
    <row r="511" spans="1:48" s="78" customFormat="1" ht="19.5" customHeight="1" x14ac:dyDescent="0.25">
      <c r="A511" s="208">
        <f t="shared" si="10"/>
        <v>76.333333333333329</v>
      </c>
      <c r="B511" s="208">
        <f>YEAR(Data_NFI_t[[#This Row],[Distribution Date]])</f>
        <v>2012</v>
      </c>
      <c r="C511" s="719">
        <v>41144</v>
      </c>
      <c r="D511" s="395" t="s">
        <v>270</v>
      </c>
      <c r="E511" s="394"/>
      <c r="F511" s="395" t="s">
        <v>7</v>
      </c>
      <c r="G511" s="646" t="s">
        <v>17</v>
      </c>
      <c r="H511" s="646" t="s">
        <v>61</v>
      </c>
      <c r="I511" s="646"/>
      <c r="J511" s="646"/>
      <c r="K511" s="646"/>
      <c r="L511" s="42"/>
      <c r="M511" s="42"/>
      <c r="N511" s="42"/>
      <c r="O511" s="42">
        <v>805</v>
      </c>
      <c r="P511" s="42"/>
      <c r="Q511" s="42"/>
      <c r="R511" s="42"/>
      <c r="S511" s="42"/>
      <c r="T511" s="410"/>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55">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09">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09">
        <f>IF(NFI_Expiration=1,IF($A511&lt;VLOOKUP(X$5,NFI,5,0),1,0)*Data_NFI_t[[#This Row],[Solar Lantern]],0)</f>
        <v>0</v>
      </c>
      <c r="AT511" s="105" t="str">
        <f ca="1">IFERROR(OFFSET(Camp_List[P_Code],MATCH(Data_NFI_t[[#This Row],[Camp Name]],Camp_List[Camp Name],0)-1,0,1,1),"")</f>
        <v>MMR012CMP041</v>
      </c>
      <c r="AU511" s="412" t="str">
        <f ca="1">IFERROR(OFFSET(Camp_List[Status],MATCH(Data_NFI_t[[#This Row],[Camp Name]],Camp_List[Camp Name],0)-1,0,1,1),"")</f>
        <v>Open</v>
      </c>
      <c r="AV511" s="105"/>
    </row>
    <row r="512" spans="1:48" s="78" customFormat="1" ht="19.5" customHeight="1" x14ac:dyDescent="0.25">
      <c r="A512" s="208">
        <f t="shared" si="10"/>
        <v>76.933333333333337</v>
      </c>
      <c r="B512" s="208">
        <f>YEAR(Data_NFI_t[[#This Row],[Distribution Date]])</f>
        <v>2012</v>
      </c>
      <c r="C512" s="719">
        <v>41126</v>
      </c>
      <c r="D512" s="395" t="s">
        <v>270</v>
      </c>
      <c r="E512" s="394"/>
      <c r="F512" s="395" t="s">
        <v>7</v>
      </c>
      <c r="G512" s="646" t="s">
        <v>17</v>
      </c>
      <c r="H512" s="646" t="s">
        <v>68</v>
      </c>
      <c r="I512" s="646"/>
      <c r="J512" s="646"/>
      <c r="K512" s="646"/>
      <c r="L512" s="42"/>
      <c r="M512" s="42"/>
      <c r="N512" s="42"/>
      <c r="O512" s="42">
        <v>98</v>
      </c>
      <c r="P512" s="42"/>
      <c r="Q512" s="42"/>
      <c r="R512" s="42"/>
      <c r="S512" s="42"/>
      <c r="T512" s="410"/>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55">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09">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09">
        <f>IF(NFI_Expiration=1,IF($A512&lt;VLOOKUP(X$5,NFI,5,0),1,0)*Data_NFI_t[[#This Row],[Solar Lantern]],0)</f>
        <v>0</v>
      </c>
      <c r="AT512" s="105" t="str">
        <f ca="1">IFERROR(OFFSET(Camp_List[P_Code],MATCH(Data_NFI_t[[#This Row],[Camp Name]],Camp_List[Camp Name],0)-1,0,1,1),"")</f>
        <v>MMR012CMP048</v>
      </c>
      <c r="AU512" s="412" t="str">
        <f ca="1">IFERROR(OFFSET(Camp_List[Status],MATCH(Data_NFI_t[[#This Row],[Camp Name]],Camp_List[Camp Name],0)-1,0,1,1),"")</f>
        <v>Open</v>
      </c>
      <c r="AV512" s="105"/>
    </row>
    <row r="513" spans="1:51" s="78" customFormat="1" ht="19.5" customHeight="1" x14ac:dyDescent="0.25">
      <c r="A513" s="208">
        <f t="shared" si="10"/>
        <v>77.13333333333334</v>
      </c>
      <c r="B513" s="208">
        <f>YEAR(Data_NFI_t[[#This Row],[Distribution Date]])</f>
        <v>2012</v>
      </c>
      <c r="C513" s="719">
        <v>41120</v>
      </c>
      <c r="D513" s="395" t="s">
        <v>270</v>
      </c>
      <c r="E513" s="394"/>
      <c r="F513" s="395" t="s">
        <v>7</v>
      </c>
      <c r="G513" s="646" t="s">
        <v>17</v>
      </c>
      <c r="H513" s="646" t="s">
        <v>65</v>
      </c>
      <c r="I513" s="646"/>
      <c r="J513" s="646"/>
      <c r="K513" s="646"/>
      <c r="L513" s="42"/>
      <c r="M513" s="42"/>
      <c r="N513" s="42"/>
      <c r="O513" s="42">
        <v>461</v>
      </c>
      <c r="P513" s="42"/>
      <c r="Q513" s="42"/>
      <c r="R513" s="42"/>
      <c r="S513" s="42"/>
      <c r="T513" s="410"/>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55">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09">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09">
        <f>IF(NFI_Expiration=1,IF($A513&lt;VLOOKUP(X$5,NFI,5,0),1,0)*Data_NFI_t[[#This Row],[Solar Lantern]],0)</f>
        <v>0</v>
      </c>
      <c r="AT513" s="105" t="str">
        <f ca="1">IFERROR(OFFSET(Camp_List[P_Code],MATCH(Data_NFI_t[[#This Row],[Camp Name]],Camp_List[Camp Name],0)-1,0,1,1),"")</f>
        <v>MMR012CMP045</v>
      </c>
      <c r="AU513" s="412" t="str">
        <f ca="1">IFERROR(OFFSET(Camp_List[Status],MATCH(Data_NFI_t[[#This Row],[Camp Name]],Camp_List[Camp Name],0)-1,0,1,1),"")</f>
        <v>Open</v>
      </c>
      <c r="AV513" s="105"/>
    </row>
    <row r="514" spans="1:51" s="78" customFormat="1" ht="19.5" customHeight="1" x14ac:dyDescent="0.25">
      <c r="A514" s="208">
        <f t="shared" si="10"/>
        <v>77.13333333333334</v>
      </c>
      <c r="B514" s="208">
        <f>YEAR(Data_NFI_t[[#This Row],[Distribution Date]])</f>
        <v>2012</v>
      </c>
      <c r="C514" s="719">
        <v>41120</v>
      </c>
      <c r="D514" s="395" t="s">
        <v>270</v>
      </c>
      <c r="E514" s="394"/>
      <c r="F514" s="395" t="s">
        <v>7</v>
      </c>
      <c r="G514" s="646" t="s">
        <v>17</v>
      </c>
      <c r="H514" s="646" t="s">
        <v>68</v>
      </c>
      <c r="I514" s="646"/>
      <c r="J514" s="646"/>
      <c r="K514" s="646"/>
      <c r="L514" s="42"/>
      <c r="M514" s="42"/>
      <c r="N514" s="42"/>
      <c r="O514" s="42">
        <v>11</v>
      </c>
      <c r="P514" s="42"/>
      <c r="Q514" s="42"/>
      <c r="R514" s="42"/>
      <c r="S514" s="42"/>
      <c r="T514" s="410"/>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55">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09">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09">
        <f>IF(NFI_Expiration=1,IF($A514&lt;VLOOKUP(X$5,NFI,5,0),1,0)*Data_NFI_t[[#This Row],[Solar Lantern]],0)</f>
        <v>0</v>
      </c>
      <c r="AT514" s="105" t="str">
        <f ca="1">IFERROR(OFFSET(Camp_List[P_Code],MATCH(Data_NFI_t[[#This Row],[Camp Name]],Camp_List[Camp Name],0)-1,0,1,1),"")</f>
        <v>MMR012CMP048</v>
      </c>
      <c r="AU514" s="412" t="str">
        <f ca="1">IFERROR(OFFSET(Camp_List[Status],MATCH(Data_NFI_t[[#This Row],[Camp Name]],Camp_List[Camp Name],0)-1,0,1,1),"")</f>
        <v>Open</v>
      </c>
      <c r="AV514" s="105"/>
    </row>
    <row r="515" spans="1:51" s="78" customFormat="1" ht="19.5" customHeight="1" x14ac:dyDescent="0.25">
      <c r="A515" s="208">
        <f t="shared" si="10"/>
        <v>77.166666666666671</v>
      </c>
      <c r="B515" s="208">
        <f>YEAR(Data_NFI_t[[#This Row],[Distribution Date]])</f>
        <v>2012</v>
      </c>
      <c r="C515" s="719">
        <v>41119</v>
      </c>
      <c r="D515" s="395" t="s">
        <v>270</v>
      </c>
      <c r="E515" s="394"/>
      <c r="F515" s="395" t="s">
        <v>7</v>
      </c>
      <c r="G515" s="646" t="s">
        <v>17</v>
      </c>
      <c r="H515" s="646" t="s">
        <v>62</v>
      </c>
      <c r="I515" s="646"/>
      <c r="J515" s="646"/>
      <c r="K515" s="646"/>
      <c r="L515" s="42"/>
      <c r="M515" s="42"/>
      <c r="N515" s="42"/>
      <c r="O515" s="42">
        <v>22</v>
      </c>
      <c r="P515" s="42"/>
      <c r="Q515" s="42"/>
      <c r="R515" s="42"/>
      <c r="S515" s="42"/>
      <c r="T515" s="410"/>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55">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09">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09">
        <f>IF(NFI_Expiration=1,IF($A515&lt;VLOOKUP(X$5,NFI,5,0),1,0)*Data_NFI_t[[#This Row],[Solar Lantern]],0)</f>
        <v>0</v>
      </c>
      <c r="AT515" s="105" t="str">
        <f ca="1">IFERROR(OFFSET(Camp_List[P_Code],MATCH(Data_NFI_t[[#This Row],[Camp Name]],Camp_List[Camp Name],0)-1,0,1,1),"")</f>
        <v/>
      </c>
      <c r="AU515" s="412" t="str">
        <f ca="1">IFERROR(OFFSET(Camp_List[Status],MATCH(Data_NFI_t[[#This Row],[Camp Name]],Camp_List[Camp Name],0)-1,0,1,1),"")</f>
        <v/>
      </c>
      <c r="AV515" s="105"/>
    </row>
    <row r="516" spans="1:51" s="78" customFormat="1" ht="19.5" customHeight="1" x14ac:dyDescent="0.25">
      <c r="A516" s="208">
        <f t="shared" si="10"/>
        <v>77.166666666666671</v>
      </c>
      <c r="B516" s="208">
        <f>YEAR(Data_NFI_t[[#This Row],[Distribution Date]])</f>
        <v>2012</v>
      </c>
      <c r="C516" s="719">
        <v>41119</v>
      </c>
      <c r="D516" s="395" t="s">
        <v>270</v>
      </c>
      <c r="E516" s="394"/>
      <c r="F516" s="395" t="s">
        <v>7</v>
      </c>
      <c r="G516" s="646" t="s">
        <v>17</v>
      </c>
      <c r="H516" s="646" t="s">
        <v>65</v>
      </c>
      <c r="I516" s="646"/>
      <c r="J516" s="646"/>
      <c r="K516" s="646"/>
      <c r="L516" s="42"/>
      <c r="M516" s="42"/>
      <c r="N516" s="42"/>
      <c r="O516" s="42">
        <v>456</v>
      </c>
      <c r="P516" s="42"/>
      <c r="Q516" s="42"/>
      <c r="R516" s="42"/>
      <c r="S516" s="42"/>
      <c r="T516" s="410"/>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55">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09">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09">
        <f>IF(NFI_Expiration=1,IF($A516&lt;VLOOKUP(X$5,NFI,5,0),1,0)*Data_NFI_t[[#This Row],[Solar Lantern]],0)</f>
        <v>0</v>
      </c>
      <c r="AT516" s="105" t="str">
        <f ca="1">IFERROR(OFFSET(Camp_List[P_Code],MATCH(Data_NFI_t[[#This Row],[Camp Name]],Camp_List[Camp Name],0)-1,0,1,1),"")</f>
        <v>MMR012CMP045</v>
      </c>
      <c r="AU516" s="412" t="str">
        <f ca="1">IFERROR(OFFSET(Camp_List[Status],MATCH(Data_NFI_t[[#This Row],[Camp Name]],Camp_List[Camp Name],0)-1,0,1,1),"")</f>
        <v>Open</v>
      </c>
      <c r="AV516" s="105"/>
      <c r="AY516" s="78" t="s">
        <v>831</v>
      </c>
    </row>
    <row r="517" spans="1:51" s="78" customFormat="1" ht="19.5" customHeight="1" x14ac:dyDescent="0.25">
      <c r="A517" s="208">
        <f t="shared" si="10"/>
        <v>77.433333333333337</v>
      </c>
      <c r="B517" s="208">
        <f>YEAR(Data_NFI_t[[#This Row],[Distribution Date]])</f>
        <v>2012</v>
      </c>
      <c r="C517" s="719">
        <v>41111</v>
      </c>
      <c r="D517" s="395" t="s">
        <v>270</v>
      </c>
      <c r="E517" s="394"/>
      <c r="F517" s="395" t="s">
        <v>7</v>
      </c>
      <c r="G517" s="646" t="s">
        <v>17</v>
      </c>
      <c r="H517" s="646" t="s">
        <v>65</v>
      </c>
      <c r="I517" s="646"/>
      <c r="J517" s="646"/>
      <c r="K517" s="646"/>
      <c r="L517" s="42"/>
      <c r="M517" s="42"/>
      <c r="N517" s="42"/>
      <c r="O517" s="42">
        <v>117</v>
      </c>
      <c r="P517" s="42"/>
      <c r="Q517" s="42"/>
      <c r="R517" s="42"/>
      <c r="S517" s="42"/>
      <c r="T517" s="410"/>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55">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09">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09">
        <f>IF(NFI_Expiration=1,IF($A517&lt;VLOOKUP(X$5,NFI,5,0),1,0)*Data_NFI_t[[#This Row],[Solar Lantern]],0)</f>
        <v>0</v>
      </c>
      <c r="AT517" s="105" t="str">
        <f ca="1">IFERROR(OFFSET(Camp_List[P_Code],MATCH(Data_NFI_t[[#This Row],[Camp Name]],Camp_List[Camp Name],0)-1,0,1,1),"")</f>
        <v>MMR012CMP045</v>
      </c>
      <c r="AU517" s="412" t="str">
        <f ca="1">IFERROR(OFFSET(Camp_List[Status],MATCH(Data_NFI_t[[#This Row],[Camp Name]],Camp_List[Camp Name],0)-1,0,1,1),"")</f>
        <v>Open</v>
      </c>
      <c r="AV517" s="105"/>
      <c r="AY517" s="78" t="s">
        <v>831</v>
      </c>
    </row>
    <row r="518" spans="1:51" s="78" customFormat="1" ht="19.5" customHeight="1" x14ac:dyDescent="0.25">
      <c r="A518" s="208">
        <f t="shared" si="10"/>
        <v>77.466666666666669</v>
      </c>
      <c r="B518" s="208">
        <f>YEAR(Data_NFI_t[[#This Row],[Distribution Date]])</f>
        <v>2012</v>
      </c>
      <c r="C518" s="719">
        <v>41110</v>
      </c>
      <c r="D518" s="395" t="s">
        <v>270</v>
      </c>
      <c r="E518" s="394"/>
      <c r="F518" s="395" t="s">
        <v>7</v>
      </c>
      <c r="G518" s="646" t="s">
        <v>17</v>
      </c>
      <c r="H518" s="646" t="s">
        <v>59</v>
      </c>
      <c r="I518" s="646"/>
      <c r="J518" s="646"/>
      <c r="K518" s="646"/>
      <c r="L518" s="42"/>
      <c r="M518" s="42"/>
      <c r="N518" s="42"/>
      <c r="O518" s="42">
        <v>383</v>
      </c>
      <c r="P518" s="42"/>
      <c r="Q518" s="42"/>
      <c r="R518" s="42"/>
      <c r="S518" s="42"/>
      <c r="T518" s="410"/>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55">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09">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09">
        <f>IF(NFI_Expiration=1,IF($A518&lt;VLOOKUP(X$5,NFI,5,0),1,0)*Data_NFI_t[[#This Row],[Solar Lantern]],0)</f>
        <v>0</v>
      </c>
      <c r="AT518" s="105" t="str">
        <f ca="1">IFERROR(OFFSET(Camp_List[P_Code],MATCH(Data_NFI_t[[#This Row],[Camp Name]],Camp_List[Camp Name],0)-1,0,1,1),"")</f>
        <v>MMR012CMP039</v>
      </c>
      <c r="AU518" s="412" t="str">
        <f ca="1">IFERROR(OFFSET(Camp_List[Status],MATCH(Data_NFI_t[[#This Row],[Camp Name]],Camp_List[Camp Name],0)-1,0,1,1),"")</f>
        <v>Open</v>
      </c>
      <c r="AV518" s="105"/>
      <c r="AY518" s="78" t="s">
        <v>831</v>
      </c>
    </row>
    <row r="519" spans="1:51" s="78" customFormat="1" ht="19.5" customHeight="1" x14ac:dyDescent="0.25">
      <c r="A519" s="208">
        <f t="shared" si="10"/>
        <v>77.5</v>
      </c>
      <c r="B519" s="208">
        <f>YEAR(Data_NFI_t[[#This Row],[Distribution Date]])</f>
        <v>2012</v>
      </c>
      <c r="C519" s="719">
        <v>41109</v>
      </c>
      <c r="D519" s="395" t="s">
        <v>270</v>
      </c>
      <c r="E519" s="394"/>
      <c r="F519" s="395" t="s">
        <v>7</v>
      </c>
      <c r="G519" s="646" t="s">
        <v>17</v>
      </c>
      <c r="H519" s="646" t="s">
        <v>68</v>
      </c>
      <c r="I519" s="646"/>
      <c r="J519" s="646"/>
      <c r="K519" s="646"/>
      <c r="L519" s="42"/>
      <c r="M519" s="42"/>
      <c r="N519" s="42"/>
      <c r="O519" s="42">
        <v>572</v>
      </c>
      <c r="P519" s="42"/>
      <c r="Q519" s="42"/>
      <c r="R519" s="42"/>
      <c r="S519" s="42"/>
      <c r="T519" s="410"/>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55">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09">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09">
        <f>IF(NFI_Expiration=1,IF($A519&lt;VLOOKUP(X$5,NFI,5,0),1,0)*Data_NFI_t[[#This Row],[Solar Lantern]],0)</f>
        <v>0</v>
      </c>
      <c r="AT519" s="105" t="str">
        <f ca="1">IFERROR(OFFSET(Camp_List[P_Code],MATCH(Data_NFI_t[[#This Row],[Camp Name]],Camp_List[Camp Name],0)-1,0,1,1),"")</f>
        <v>MMR012CMP048</v>
      </c>
      <c r="AU519" s="412" t="str">
        <f ca="1">IFERROR(OFFSET(Camp_List[Status],MATCH(Data_NFI_t[[#This Row],[Camp Name]],Camp_List[Camp Name],0)-1,0,1,1),"")</f>
        <v>Open</v>
      </c>
      <c r="AV519" s="105"/>
      <c r="AY519" s="78" t="s">
        <v>831</v>
      </c>
    </row>
    <row r="520" spans="1:51" s="78" customFormat="1" ht="19.5" customHeight="1" x14ac:dyDescent="0.25">
      <c r="A520" s="208">
        <f t="shared" si="10"/>
        <v>77.533333333333331</v>
      </c>
      <c r="B520" s="208">
        <f>YEAR(Data_NFI_t[[#This Row],[Distribution Date]])</f>
        <v>2012</v>
      </c>
      <c r="C520" s="719">
        <v>41108</v>
      </c>
      <c r="D520" s="395" t="s">
        <v>270</v>
      </c>
      <c r="E520" s="394"/>
      <c r="F520" s="395" t="s">
        <v>7</v>
      </c>
      <c r="G520" s="646" t="s">
        <v>17</v>
      </c>
      <c r="H520" s="646" t="s">
        <v>60</v>
      </c>
      <c r="I520" s="646"/>
      <c r="J520" s="646"/>
      <c r="K520" s="646"/>
      <c r="L520" s="42"/>
      <c r="M520" s="42"/>
      <c r="N520" s="42"/>
      <c r="O520" s="42">
        <v>248</v>
      </c>
      <c r="P520" s="42"/>
      <c r="Q520" s="42"/>
      <c r="R520" s="42"/>
      <c r="S520" s="42"/>
      <c r="T520" s="410"/>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55">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09">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09">
        <f>IF(NFI_Expiration=1,IF($A520&lt;VLOOKUP(X$5,NFI,5,0),1,0)*Data_NFI_t[[#This Row],[Solar Lantern]],0)</f>
        <v>0</v>
      </c>
      <c r="AT520" s="105" t="str">
        <f ca="1">IFERROR(OFFSET(Camp_List[P_Code],MATCH(Data_NFI_t[[#This Row],[Camp Name]],Camp_List[Camp Name],0)-1,0,1,1),"")</f>
        <v>MMR012CMP040</v>
      </c>
      <c r="AU520" s="412" t="str">
        <f ca="1">IFERROR(OFFSET(Camp_List[Status],MATCH(Data_NFI_t[[#This Row],[Camp Name]],Camp_List[Camp Name],0)-1,0,1,1),"")</f>
        <v>Close</v>
      </c>
      <c r="AV520" s="105"/>
      <c r="AY520" s="78" t="s">
        <v>831</v>
      </c>
    </row>
    <row r="521" spans="1:51" s="78" customFormat="1" ht="19.5" customHeight="1" x14ac:dyDescent="0.25">
      <c r="A521" s="208">
        <f t="shared" si="10"/>
        <v>77.533333333333331</v>
      </c>
      <c r="B521" s="208">
        <f>YEAR(Data_NFI_t[[#This Row],[Distribution Date]])</f>
        <v>2012</v>
      </c>
      <c r="C521" s="719">
        <v>41108</v>
      </c>
      <c r="D521" s="395" t="s">
        <v>270</v>
      </c>
      <c r="E521" s="394"/>
      <c r="F521" s="395" t="s">
        <v>7</v>
      </c>
      <c r="G521" s="646" t="s">
        <v>17</v>
      </c>
      <c r="H521" s="646" t="s">
        <v>62</v>
      </c>
      <c r="I521" s="646"/>
      <c r="J521" s="646"/>
      <c r="K521" s="646"/>
      <c r="L521" s="42"/>
      <c r="M521" s="42"/>
      <c r="N521" s="42"/>
      <c r="O521" s="42">
        <v>121</v>
      </c>
      <c r="P521" s="42"/>
      <c r="Q521" s="42"/>
      <c r="R521" s="42"/>
      <c r="S521" s="42"/>
      <c r="T521" s="410"/>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55">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09">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09">
        <f>IF(NFI_Expiration=1,IF($A521&lt;VLOOKUP(X$5,NFI,5,0),1,0)*Data_NFI_t[[#This Row],[Solar Lantern]],0)</f>
        <v>0</v>
      </c>
      <c r="AT521" s="105" t="str">
        <f ca="1">IFERROR(OFFSET(Camp_List[P_Code],MATCH(Data_NFI_t[[#This Row],[Camp Name]],Camp_List[Camp Name],0)-1,0,1,1),"")</f>
        <v/>
      </c>
      <c r="AU521" s="412" t="str">
        <f ca="1">IFERROR(OFFSET(Camp_List[Status],MATCH(Data_NFI_t[[#This Row],[Camp Name]],Camp_List[Camp Name],0)-1,0,1,1),"")</f>
        <v/>
      </c>
      <c r="AV521" s="105"/>
      <c r="AY521" s="78" t="s">
        <v>831</v>
      </c>
    </row>
    <row r="522" spans="1:51" s="78" customFormat="1" ht="19.5" customHeight="1" x14ac:dyDescent="0.25">
      <c r="A522" s="208">
        <f t="shared" si="10"/>
        <v>77.566666666666663</v>
      </c>
      <c r="B522" s="208">
        <f>YEAR(Data_NFI_t[[#This Row],[Distribution Date]])</f>
        <v>2012</v>
      </c>
      <c r="C522" s="719">
        <v>41107</v>
      </c>
      <c r="D522" s="395" t="s">
        <v>270</v>
      </c>
      <c r="E522" s="394"/>
      <c r="F522" s="395" t="s">
        <v>7</v>
      </c>
      <c r="G522" s="646" t="s">
        <v>17</v>
      </c>
      <c r="H522" s="646" t="s">
        <v>60</v>
      </c>
      <c r="I522" s="646"/>
      <c r="J522" s="646"/>
      <c r="K522" s="646"/>
      <c r="L522" s="42"/>
      <c r="M522" s="42"/>
      <c r="N522" s="42"/>
      <c r="O522" s="42">
        <v>630</v>
      </c>
      <c r="P522" s="42"/>
      <c r="Q522" s="42"/>
      <c r="R522" s="42"/>
      <c r="S522" s="42"/>
      <c r="T522" s="410"/>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55">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09">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09">
        <f>IF(NFI_Expiration=1,IF($A522&lt;VLOOKUP(X$5,NFI,5,0),1,0)*Data_NFI_t[[#This Row],[Solar Lantern]],0)</f>
        <v>0</v>
      </c>
      <c r="AT522" s="105" t="str">
        <f ca="1">IFERROR(OFFSET(Camp_List[P_Code],MATCH(Data_NFI_t[[#This Row],[Camp Name]],Camp_List[Camp Name],0)-1,0,1,1),"")</f>
        <v>MMR012CMP040</v>
      </c>
      <c r="AU522" s="412" t="str">
        <f ca="1">IFERROR(OFFSET(Camp_List[Status],MATCH(Data_NFI_t[[#This Row],[Camp Name]],Camp_List[Camp Name],0)-1,0,1,1),"")</f>
        <v>Close</v>
      </c>
      <c r="AV522" s="105"/>
    </row>
    <row r="523" spans="1:51" s="78" customFormat="1" ht="19.5" customHeight="1" x14ac:dyDescent="0.25">
      <c r="A523" s="208">
        <f t="shared" si="10"/>
        <v>77.599999999999994</v>
      </c>
      <c r="B523" s="208">
        <f>YEAR(Data_NFI_t[[#This Row],[Distribution Date]])</f>
        <v>2012</v>
      </c>
      <c r="C523" s="719">
        <v>41106</v>
      </c>
      <c r="D523" s="395" t="s">
        <v>270</v>
      </c>
      <c r="E523" s="394"/>
      <c r="F523" s="395" t="s">
        <v>7</v>
      </c>
      <c r="G523" s="646" t="s">
        <v>17</v>
      </c>
      <c r="H523" s="646" t="s">
        <v>60</v>
      </c>
      <c r="I523" s="646"/>
      <c r="J523" s="646"/>
      <c r="K523" s="646"/>
      <c r="L523" s="42"/>
      <c r="M523" s="42"/>
      <c r="N523" s="42"/>
      <c r="O523" s="42">
        <v>120</v>
      </c>
      <c r="P523" s="42"/>
      <c r="Q523" s="42"/>
      <c r="R523" s="42"/>
      <c r="S523" s="42"/>
      <c r="T523" s="410"/>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55">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09">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09">
        <f>IF(NFI_Expiration=1,IF($A523&lt;VLOOKUP(X$5,NFI,5,0),1,0)*Data_NFI_t[[#This Row],[Solar Lantern]],0)</f>
        <v>0</v>
      </c>
      <c r="AT523" s="105" t="str">
        <f ca="1">IFERROR(OFFSET(Camp_List[P_Code],MATCH(Data_NFI_t[[#This Row],[Camp Name]],Camp_List[Camp Name],0)-1,0,1,1),"")</f>
        <v>MMR012CMP040</v>
      </c>
      <c r="AU523" s="412" t="str">
        <f ca="1">IFERROR(OFFSET(Camp_List[Status],MATCH(Data_NFI_t[[#This Row],[Camp Name]],Camp_List[Camp Name],0)-1,0,1,1),"")</f>
        <v>Close</v>
      </c>
      <c r="AV523" s="105"/>
    </row>
    <row r="524" spans="1:51" s="78" customFormat="1" ht="19.5" customHeight="1" x14ac:dyDescent="0.25">
      <c r="A524" s="208">
        <f t="shared" si="10"/>
        <v>77.63333333333334</v>
      </c>
      <c r="B524" s="208">
        <f>YEAR(Data_NFI_t[[#This Row],[Distribution Date]])</f>
        <v>2012</v>
      </c>
      <c r="C524" s="719">
        <v>41105</v>
      </c>
      <c r="D524" s="395" t="s">
        <v>270</v>
      </c>
      <c r="E524" s="394"/>
      <c r="F524" s="395" t="s">
        <v>7</v>
      </c>
      <c r="G524" s="646" t="s">
        <v>17</v>
      </c>
      <c r="H524" s="646" t="s">
        <v>60</v>
      </c>
      <c r="I524" s="646"/>
      <c r="J524" s="646"/>
      <c r="K524" s="646"/>
      <c r="L524" s="42"/>
      <c r="M524" s="42"/>
      <c r="N524" s="42"/>
      <c r="O524" s="42">
        <v>150</v>
      </c>
      <c r="P524" s="42"/>
      <c r="Q524" s="42"/>
      <c r="R524" s="42"/>
      <c r="S524" s="42"/>
      <c r="T524" s="410"/>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55">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09">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09">
        <f>IF(NFI_Expiration=1,IF($A524&lt;VLOOKUP(X$5,NFI,5,0),1,0)*Data_NFI_t[[#This Row],[Solar Lantern]],0)</f>
        <v>0</v>
      </c>
      <c r="AT524" s="105" t="str">
        <f ca="1">IFERROR(OFFSET(Camp_List[P_Code],MATCH(Data_NFI_t[[#This Row],[Camp Name]],Camp_List[Camp Name],0)-1,0,1,1),"")</f>
        <v>MMR012CMP040</v>
      </c>
      <c r="AU524" s="412" t="str">
        <f ca="1">IFERROR(OFFSET(Camp_List[Status],MATCH(Data_NFI_t[[#This Row],[Camp Name]],Camp_List[Camp Name],0)-1,0,1,1),"")</f>
        <v>Close</v>
      </c>
      <c r="AV524" s="105"/>
    </row>
    <row r="525" spans="1:51" s="78" customFormat="1" ht="19.5" customHeight="1" x14ac:dyDescent="0.25">
      <c r="A525" s="208">
        <f t="shared" si="10"/>
        <v>77.63333333333334</v>
      </c>
      <c r="B525" s="208">
        <f>YEAR(Data_NFI_t[[#This Row],[Distribution Date]])</f>
        <v>2012</v>
      </c>
      <c r="C525" s="719">
        <v>41105</v>
      </c>
      <c r="D525" s="395" t="s">
        <v>270</v>
      </c>
      <c r="E525" s="394"/>
      <c r="F525" s="395" t="s">
        <v>7</v>
      </c>
      <c r="G525" s="646" t="s">
        <v>17</v>
      </c>
      <c r="H525" s="646" t="s">
        <v>68</v>
      </c>
      <c r="I525" s="646"/>
      <c r="J525" s="646"/>
      <c r="K525" s="646"/>
      <c r="L525" s="42"/>
      <c r="M525" s="42"/>
      <c r="N525" s="42"/>
      <c r="O525" s="42">
        <v>200</v>
      </c>
      <c r="P525" s="42"/>
      <c r="Q525" s="42"/>
      <c r="R525" s="42"/>
      <c r="S525" s="42"/>
      <c r="T525" s="410"/>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55">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09">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09">
        <f>IF(NFI_Expiration=1,IF($A525&lt;VLOOKUP(X$5,NFI,5,0),1,0)*Data_NFI_t[[#This Row],[Solar Lantern]],0)</f>
        <v>0</v>
      </c>
      <c r="AT525" s="105" t="str">
        <f ca="1">IFERROR(OFFSET(Camp_List[P_Code],MATCH(Data_NFI_t[[#This Row],[Camp Name]],Camp_List[Camp Name],0)-1,0,1,1),"")</f>
        <v>MMR012CMP048</v>
      </c>
      <c r="AU525" s="412" t="str">
        <f ca="1">IFERROR(OFFSET(Camp_List[Status],MATCH(Data_NFI_t[[#This Row],[Camp Name]],Camp_List[Camp Name],0)-1,0,1,1),"")</f>
        <v>Open</v>
      </c>
      <c r="AV525" s="105"/>
    </row>
    <row r="526" spans="1:51" s="78" customFormat="1" ht="19.5" customHeight="1" x14ac:dyDescent="0.25">
      <c r="A526" s="208">
        <f t="shared" si="10"/>
        <v>77.733333333333334</v>
      </c>
      <c r="B526" s="208">
        <f>YEAR(Data_NFI_t[[#This Row],[Distribution Date]])</f>
        <v>2012</v>
      </c>
      <c r="C526" s="719">
        <v>41102</v>
      </c>
      <c r="D526" s="395" t="s">
        <v>270</v>
      </c>
      <c r="E526" s="394"/>
      <c r="F526" s="395" t="s">
        <v>7</v>
      </c>
      <c r="G526" s="646" t="s">
        <v>17</v>
      </c>
      <c r="H526" s="646" t="s">
        <v>260</v>
      </c>
      <c r="I526" s="646"/>
      <c r="J526" s="646"/>
      <c r="K526" s="646"/>
      <c r="L526" s="42"/>
      <c r="M526" s="42"/>
      <c r="N526" s="42"/>
      <c r="O526" s="42">
        <v>4</v>
      </c>
      <c r="P526" s="42"/>
      <c r="Q526" s="42"/>
      <c r="R526" s="42"/>
      <c r="S526" s="42"/>
      <c r="T526" s="410"/>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55">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09">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09">
        <f>IF(NFI_Expiration=1,IF($A526&lt;VLOOKUP(X$5,NFI,5,0),1,0)*Data_NFI_t[[#This Row],[Solar Lantern]],0)</f>
        <v>0</v>
      </c>
      <c r="AT526" s="105" t="str">
        <f ca="1">IFERROR(OFFSET(Camp_List[P_Code],MATCH(Data_NFI_t[[#This Row],[Camp Name]],Camp_List[Camp Name],0)-1,0,1,1),"")</f>
        <v/>
      </c>
      <c r="AU526" s="412" t="str">
        <f ca="1">IFERROR(OFFSET(Camp_List[Status],MATCH(Data_NFI_t[[#This Row],[Camp Name]],Camp_List[Camp Name],0)-1,0,1,1),"")</f>
        <v/>
      </c>
      <c r="AV526" s="105"/>
    </row>
    <row r="527" spans="1:51" s="78" customFormat="1" ht="19.5" customHeight="1" x14ac:dyDescent="0.25">
      <c r="A527" s="208">
        <f t="shared" si="10"/>
        <v>77.766666666666666</v>
      </c>
      <c r="B527" s="208">
        <f>YEAR(Data_NFI_t[[#This Row],[Distribution Date]])</f>
        <v>2012</v>
      </c>
      <c r="C527" s="719">
        <v>41101</v>
      </c>
      <c r="D527" s="395" t="s">
        <v>270</v>
      </c>
      <c r="E527" s="394"/>
      <c r="F527" s="395" t="s">
        <v>7</v>
      </c>
      <c r="G527" s="646" t="s">
        <v>17</v>
      </c>
      <c r="H527" s="646" t="s">
        <v>259</v>
      </c>
      <c r="I527" s="646"/>
      <c r="J527" s="646"/>
      <c r="K527" s="646"/>
      <c r="L527" s="42"/>
      <c r="M527" s="42"/>
      <c r="N527" s="42"/>
      <c r="O527" s="42">
        <v>492</v>
      </c>
      <c r="P527" s="42"/>
      <c r="Q527" s="42"/>
      <c r="R527" s="42"/>
      <c r="S527" s="42"/>
      <c r="T527" s="410"/>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55">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09">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09">
        <f>IF(NFI_Expiration=1,IF($A527&lt;VLOOKUP(X$5,NFI,5,0),1,0)*Data_NFI_t[[#This Row],[Solar Lantern]],0)</f>
        <v>0</v>
      </c>
      <c r="AT527" s="105" t="str">
        <f ca="1">IFERROR(OFFSET(Camp_List[P_Code],MATCH(Data_NFI_t[[#This Row],[Camp Name]],Camp_List[Camp Name],0)-1,0,1,1),"")</f>
        <v/>
      </c>
      <c r="AU527" s="412" t="str">
        <f ca="1">IFERROR(OFFSET(Camp_List[Status],MATCH(Data_NFI_t[[#This Row],[Camp Name]],Camp_List[Camp Name],0)-1,0,1,1),"")</f>
        <v/>
      </c>
      <c r="AV527" s="105"/>
    </row>
    <row r="528" spans="1:51" s="78" customFormat="1" ht="19.5" customHeight="1" x14ac:dyDescent="0.25">
      <c r="A528" s="208">
        <f t="shared" si="10"/>
        <v>77.8</v>
      </c>
      <c r="B528" s="208">
        <f>YEAR(Data_NFI_t[[#This Row],[Distribution Date]])</f>
        <v>2012</v>
      </c>
      <c r="C528" s="719">
        <v>41100</v>
      </c>
      <c r="D528" s="395" t="s">
        <v>270</v>
      </c>
      <c r="E528" s="394"/>
      <c r="F528" s="395" t="s">
        <v>7</v>
      </c>
      <c r="G528" s="646" t="s">
        <v>17</v>
      </c>
      <c r="H528" s="646" t="s">
        <v>254</v>
      </c>
      <c r="I528" s="646"/>
      <c r="J528" s="646"/>
      <c r="K528" s="646"/>
      <c r="L528" s="42"/>
      <c r="M528" s="42"/>
      <c r="N528" s="42"/>
      <c r="O528" s="42">
        <v>32</v>
      </c>
      <c r="P528" s="42"/>
      <c r="Q528" s="42"/>
      <c r="R528" s="42"/>
      <c r="S528" s="42"/>
      <c r="T528" s="410"/>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55">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09">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09">
        <f>IF(NFI_Expiration=1,IF($A528&lt;VLOOKUP(X$5,NFI,5,0),1,0)*Data_NFI_t[[#This Row],[Solar Lantern]],0)</f>
        <v>0</v>
      </c>
      <c r="AT528" s="105" t="str">
        <f ca="1">IFERROR(OFFSET(Camp_List[P_Code],MATCH(Data_NFI_t[[#This Row],[Camp Name]],Camp_List[Camp Name],0)-1,0,1,1),"")</f>
        <v/>
      </c>
      <c r="AU528" s="412" t="str">
        <f ca="1">IFERROR(OFFSET(Camp_List[Status],MATCH(Data_NFI_t[[#This Row],[Camp Name]],Camp_List[Camp Name],0)-1,0,1,1),"")</f>
        <v/>
      </c>
      <c r="AV528" s="105"/>
    </row>
    <row r="529" spans="1:48" s="78" customFormat="1" ht="19.5" customHeight="1" x14ac:dyDescent="0.25">
      <c r="A529" s="208">
        <f t="shared" si="10"/>
        <v>77.8</v>
      </c>
      <c r="B529" s="208">
        <f>YEAR(Data_NFI_t[[#This Row],[Distribution Date]])</f>
        <v>2012</v>
      </c>
      <c r="C529" s="719">
        <v>41100</v>
      </c>
      <c r="D529" s="395" t="s">
        <v>270</v>
      </c>
      <c r="E529" s="394"/>
      <c r="F529" s="395" t="s">
        <v>7</v>
      </c>
      <c r="G529" s="646" t="s">
        <v>17</v>
      </c>
      <c r="H529" s="646" t="s">
        <v>257</v>
      </c>
      <c r="I529" s="646"/>
      <c r="J529" s="646"/>
      <c r="K529" s="646"/>
      <c r="L529" s="42"/>
      <c r="M529" s="42"/>
      <c r="N529" s="42"/>
      <c r="O529" s="42">
        <v>5</v>
      </c>
      <c r="P529" s="42"/>
      <c r="Q529" s="42"/>
      <c r="R529" s="42"/>
      <c r="S529" s="42"/>
      <c r="T529" s="410"/>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55">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09">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09">
        <f>IF(NFI_Expiration=1,IF($A529&lt;VLOOKUP(X$5,NFI,5,0),1,0)*Data_NFI_t[[#This Row],[Solar Lantern]],0)</f>
        <v>0</v>
      </c>
      <c r="AT529" s="105" t="str">
        <f ca="1">IFERROR(OFFSET(Camp_List[P_Code],MATCH(Data_NFI_t[[#This Row],[Camp Name]],Camp_List[Camp Name],0)-1,0,1,1),"")</f>
        <v/>
      </c>
      <c r="AU529" s="412" t="str">
        <f ca="1">IFERROR(OFFSET(Camp_List[Status],MATCH(Data_NFI_t[[#This Row],[Camp Name]],Camp_List[Camp Name],0)-1,0,1,1),"")</f>
        <v/>
      </c>
      <c r="AV529" s="105"/>
    </row>
    <row r="530" spans="1:48" s="78" customFormat="1" ht="19.5" customHeight="1" x14ac:dyDescent="0.25">
      <c r="A530" s="208">
        <f t="shared" si="10"/>
        <v>77.8</v>
      </c>
      <c r="B530" s="208">
        <f>YEAR(Data_NFI_t[[#This Row],[Distribution Date]])</f>
        <v>2012</v>
      </c>
      <c r="C530" s="719">
        <v>41100</v>
      </c>
      <c r="D530" s="395" t="s">
        <v>270</v>
      </c>
      <c r="E530" s="394"/>
      <c r="F530" s="395" t="s">
        <v>7</v>
      </c>
      <c r="G530" s="646" t="s">
        <v>17</v>
      </c>
      <c r="H530" s="646" t="s">
        <v>256</v>
      </c>
      <c r="I530" s="646"/>
      <c r="J530" s="646"/>
      <c r="K530" s="646"/>
      <c r="L530" s="42"/>
      <c r="M530" s="42"/>
      <c r="N530" s="42"/>
      <c r="O530" s="42">
        <v>16</v>
      </c>
      <c r="P530" s="42"/>
      <c r="Q530" s="42"/>
      <c r="R530" s="42"/>
      <c r="S530" s="42"/>
      <c r="T530" s="410"/>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55">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09">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09">
        <f>IF(NFI_Expiration=1,IF($A530&lt;VLOOKUP(X$5,NFI,5,0),1,0)*Data_NFI_t[[#This Row],[Solar Lantern]],0)</f>
        <v>0</v>
      </c>
      <c r="AT530" s="105" t="str">
        <f ca="1">IFERROR(OFFSET(Camp_List[P_Code],MATCH(Data_NFI_t[[#This Row],[Camp Name]],Camp_List[Camp Name],0)-1,0,1,1),"")</f>
        <v/>
      </c>
      <c r="AU530" s="412" t="str">
        <f ca="1">IFERROR(OFFSET(Camp_List[Status],MATCH(Data_NFI_t[[#This Row],[Camp Name]],Camp_List[Camp Name],0)-1,0,1,1),"")</f>
        <v/>
      </c>
      <c r="AV530" s="105"/>
    </row>
    <row r="531" spans="1:48" s="78" customFormat="1" ht="19.5" customHeight="1" x14ac:dyDescent="0.25">
      <c r="A531" s="208">
        <f t="shared" si="10"/>
        <v>77.8</v>
      </c>
      <c r="B531" s="208">
        <f>YEAR(Data_NFI_t[[#This Row],[Distribution Date]])</f>
        <v>2012</v>
      </c>
      <c r="C531" s="719">
        <v>41100</v>
      </c>
      <c r="D531" s="395" t="s">
        <v>270</v>
      </c>
      <c r="E531" s="394"/>
      <c r="F531" s="395" t="s">
        <v>7</v>
      </c>
      <c r="G531" s="646" t="s">
        <v>17</v>
      </c>
      <c r="H531" s="646" t="s">
        <v>255</v>
      </c>
      <c r="I531" s="646"/>
      <c r="J531" s="646"/>
      <c r="K531" s="646"/>
      <c r="L531" s="42"/>
      <c r="M531" s="42"/>
      <c r="N531" s="42"/>
      <c r="O531" s="42">
        <v>11</v>
      </c>
      <c r="P531" s="42"/>
      <c r="Q531" s="42"/>
      <c r="R531" s="42"/>
      <c r="S531" s="42"/>
      <c r="T531" s="410"/>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55">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09">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09">
        <f>IF(NFI_Expiration=1,IF($A531&lt;VLOOKUP(X$5,NFI,5,0),1,0)*Data_NFI_t[[#This Row],[Solar Lantern]],0)</f>
        <v>0</v>
      </c>
      <c r="AT531" s="105" t="str">
        <f ca="1">IFERROR(OFFSET(Camp_List[P_Code],MATCH(Data_NFI_t[[#This Row],[Camp Name]],Camp_List[Camp Name],0)-1,0,1,1),"")</f>
        <v/>
      </c>
      <c r="AU531" s="412" t="str">
        <f ca="1">IFERROR(OFFSET(Camp_List[Status],MATCH(Data_NFI_t[[#This Row],[Camp Name]],Camp_List[Camp Name],0)-1,0,1,1),"")</f>
        <v/>
      </c>
      <c r="AV531" s="105"/>
    </row>
    <row r="532" spans="1:48" s="78" customFormat="1" ht="19.5" customHeight="1" x14ac:dyDescent="0.25">
      <c r="A532" s="208">
        <f t="shared" si="10"/>
        <v>77.8</v>
      </c>
      <c r="B532" s="208">
        <f>YEAR(Data_NFI_t[[#This Row],[Distribution Date]])</f>
        <v>2012</v>
      </c>
      <c r="C532" s="719">
        <v>41100</v>
      </c>
      <c r="D532" s="395" t="s">
        <v>270</v>
      </c>
      <c r="E532" s="394"/>
      <c r="F532" s="395" t="s">
        <v>7</v>
      </c>
      <c r="G532" s="646" t="s">
        <v>17</v>
      </c>
      <c r="H532" s="646" t="s">
        <v>94</v>
      </c>
      <c r="I532" s="646"/>
      <c r="J532" s="646"/>
      <c r="K532" s="646"/>
      <c r="L532" s="42"/>
      <c r="M532" s="42"/>
      <c r="N532" s="42"/>
      <c r="O532" s="42">
        <v>20</v>
      </c>
      <c r="P532" s="42"/>
      <c r="Q532" s="42"/>
      <c r="R532" s="42"/>
      <c r="S532" s="42"/>
      <c r="T532" s="410"/>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55">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09">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09">
        <f>IF(NFI_Expiration=1,IF($A532&lt;VLOOKUP(X$5,NFI,5,0),1,0)*Data_NFI_t[[#This Row],[Solar Lantern]],0)</f>
        <v>0</v>
      </c>
      <c r="AT532" s="105" t="str">
        <f ca="1">IFERROR(OFFSET(Camp_List[P_Code],MATCH(Data_NFI_t[[#This Row],[Camp Name]],Camp_List[Camp Name],0)-1,0,1,1),"")</f>
        <v>MMR012CMP075</v>
      </c>
      <c r="AU532" s="412" t="str">
        <f ca="1">IFERROR(OFFSET(Camp_List[Status],MATCH(Data_NFI_t[[#This Row],[Camp Name]],Camp_List[Camp Name],0)-1,0,1,1),"")</f>
        <v>Close</v>
      </c>
      <c r="AV532" s="105"/>
    </row>
    <row r="533" spans="1:48" s="78" customFormat="1" ht="19.5" customHeight="1" x14ac:dyDescent="0.25">
      <c r="A533" s="208">
        <f t="shared" si="10"/>
        <v>77.8</v>
      </c>
      <c r="B533" s="208">
        <f>YEAR(Data_NFI_t[[#This Row],[Distribution Date]])</f>
        <v>2012</v>
      </c>
      <c r="C533" s="719">
        <v>41100</v>
      </c>
      <c r="D533" s="395" t="s">
        <v>270</v>
      </c>
      <c r="E533" s="394"/>
      <c r="F533" s="395" t="s">
        <v>7</v>
      </c>
      <c r="G533" s="646" t="s">
        <v>17</v>
      </c>
      <c r="H533" s="646" t="s">
        <v>258</v>
      </c>
      <c r="I533" s="646"/>
      <c r="J533" s="646"/>
      <c r="K533" s="646"/>
      <c r="L533" s="42"/>
      <c r="M533" s="42"/>
      <c r="N533" s="42"/>
      <c r="O533" s="42">
        <v>2</v>
      </c>
      <c r="P533" s="42"/>
      <c r="Q533" s="42"/>
      <c r="R533" s="42"/>
      <c r="S533" s="42"/>
      <c r="T533" s="410"/>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55">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09">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09">
        <f>IF(NFI_Expiration=1,IF($A533&lt;VLOOKUP(X$5,NFI,5,0),1,0)*Data_NFI_t[[#This Row],[Solar Lantern]],0)</f>
        <v>0</v>
      </c>
      <c r="AT533" s="105" t="str">
        <f ca="1">IFERROR(OFFSET(Camp_List[P_Code],MATCH(Data_NFI_t[[#This Row],[Camp Name]],Camp_List[Camp Name],0)-1,0,1,1),"")</f>
        <v/>
      </c>
      <c r="AU533" s="412" t="str">
        <f ca="1">IFERROR(OFFSET(Camp_List[Status],MATCH(Data_NFI_t[[#This Row],[Camp Name]],Camp_List[Camp Name],0)-1,0,1,1),"")</f>
        <v/>
      </c>
      <c r="AV533" s="105"/>
    </row>
    <row r="534" spans="1:48" s="78" customFormat="1" ht="19.5" customHeight="1" x14ac:dyDescent="0.25">
      <c r="A534" s="208">
        <f t="shared" si="10"/>
        <v>77.833333333333329</v>
      </c>
      <c r="B534" s="208">
        <f>YEAR(Data_NFI_t[[#This Row],[Distribution Date]])</f>
        <v>2012</v>
      </c>
      <c r="C534" s="719">
        <v>41099</v>
      </c>
      <c r="D534" s="395" t="s">
        <v>270</v>
      </c>
      <c r="E534" s="394"/>
      <c r="F534" s="395" t="s">
        <v>7</v>
      </c>
      <c r="G534" s="646" t="s">
        <v>17</v>
      </c>
      <c r="H534" s="646" t="s">
        <v>253</v>
      </c>
      <c r="I534" s="646"/>
      <c r="J534" s="646"/>
      <c r="K534" s="646"/>
      <c r="L534" s="42"/>
      <c r="M534" s="42"/>
      <c r="N534" s="42"/>
      <c r="O534" s="42">
        <v>5</v>
      </c>
      <c r="P534" s="42"/>
      <c r="Q534" s="42"/>
      <c r="R534" s="42"/>
      <c r="S534" s="42"/>
      <c r="T534" s="410"/>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55">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09">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09">
        <f>IF(NFI_Expiration=1,IF($A534&lt;VLOOKUP(X$5,NFI,5,0),1,0)*Data_NFI_t[[#This Row],[Solar Lantern]],0)</f>
        <v>0</v>
      </c>
      <c r="AT534" s="105" t="str">
        <f ca="1">IFERROR(OFFSET(Camp_List[P_Code],MATCH(Data_NFI_t[[#This Row],[Camp Name]],Camp_List[Camp Name],0)-1,0,1,1),"")</f>
        <v/>
      </c>
      <c r="AU534" s="412" t="str">
        <f ca="1">IFERROR(OFFSET(Camp_List[Status],MATCH(Data_NFI_t[[#This Row],[Camp Name]],Camp_List[Camp Name],0)-1,0,1,1),"")</f>
        <v/>
      </c>
      <c r="AV534" s="105"/>
    </row>
    <row r="535" spans="1:48" s="78" customFormat="1" ht="19.5" customHeight="1" x14ac:dyDescent="0.25">
      <c r="A535" s="208">
        <f t="shared" si="10"/>
        <v>77.833333333333329</v>
      </c>
      <c r="B535" s="208">
        <f>YEAR(Data_NFI_t[[#This Row],[Distribution Date]])</f>
        <v>2012</v>
      </c>
      <c r="C535" s="719">
        <v>41099</v>
      </c>
      <c r="D535" s="395" t="s">
        <v>270</v>
      </c>
      <c r="E535" s="394"/>
      <c r="F535" s="395" t="s">
        <v>7</v>
      </c>
      <c r="G535" s="646" t="s">
        <v>17</v>
      </c>
      <c r="H535" s="646" t="s">
        <v>245</v>
      </c>
      <c r="I535" s="646"/>
      <c r="J535" s="646"/>
      <c r="K535" s="646"/>
      <c r="L535" s="42"/>
      <c r="M535" s="42"/>
      <c r="N535" s="42"/>
      <c r="O535" s="42">
        <v>10</v>
      </c>
      <c r="P535" s="42"/>
      <c r="Q535" s="42"/>
      <c r="R535" s="42"/>
      <c r="S535" s="42"/>
      <c r="T535" s="410"/>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55">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09">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09">
        <f>IF(NFI_Expiration=1,IF($A535&lt;VLOOKUP(X$5,NFI,5,0),1,0)*Data_NFI_t[[#This Row],[Solar Lantern]],0)</f>
        <v>0</v>
      </c>
      <c r="AT535" s="105" t="str">
        <f ca="1">IFERROR(OFFSET(Camp_List[P_Code],MATCH(Data_NFI_t[[#This Row],[Camp Name]],Camp_List[Camp Name],0)-1,0,1,1),"")</f>
        <v/>
      </c>
      <c r="AU535" s="412" t="str">
        <f ca="1">IFERROR(OFFSET(Camp_List[Status],MATCH(Data_NFI_t[[#This Row],[Camp Name]],Camp_List[Camp Name],0)-1,0,1,1),"")</f>
        <v/>
      </c>
      <c r="AV535" s="105"/>
    </row>
    <row r="536" spans="1:48" s="78" customFormat="1" ht="19.5" customHeight="1" x14ac:dyDescent="0.25">
      <c r="A536" s="208">
        <f t="shared" si="10"/>
        <v>77.833333333333329</v>
      </c>
      <c r="B536" s="208">
        <f>YEAR(Data_NFI_t[[#This Row],[Distribution Date]])</f>
        <v>2012</v>
      </c>
      <c r="C536" s="719">
        <v>41099</v>
      </c>
      <c r="D536" s="395" t="s">
        <v>270</v>
      </c>
      <c r="E536" s="394"/>
      <c r="F536" s="395" t="s">
        <v>7</v>
      </c>
      <c r="G536" s="646" t="s">
        <v>17</v>
      </c>
      <c r="H536" s="646" t="s">
        <v>250</v>
      </c>
      <c r="I536" s="646"/>
      <c r="J536" s="646"/>
      <c r="K536" s="646"/>
      <c r="L536" s="42"/>
      <c r="M536" s="42"/>
      <c r="N536" s="42"/>
      <c r="O536" s="42">
        <v>26</v>
      </c>
      <c r="P536" s="42"/>
      <c r="Q536" s="42"/>
      <c r="R536" s="42"/>
      <c r="S536" s="42"/>
      <c r="T536" s="410"/>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55">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09">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09">
        <f>IF(NFI_Expiration=1,IF($A536&lt;VLOOKUP(X$5,NFI,5,0),1,0)*Data_NFI_t[[#This Row],[Solar Lantern]],0)</f>
        <v>0</v>
      </c>
      <c r="AT536" s="105" t="str">
        <f ca="1">IFERROR(OFFSET(Camp_List[P_Code],MATCH(Data_NFI_t[[#This Row],[Camp Name]],Camp_List[Camp Name],0)-1,0,1,1),"")</f>
        <v/>
      </c>
      <c r="AU536" s="412" t="str">
        <f ca="1">IFERROR(OFFSET(Camp_List[Status],MATCH(Data_NFI_t[[#This Row],[Camp Name]],Camp_List[Camp Name],0)-1,0,1,1),"")</f>
        <v/>
      </c>
      <c r="AV536" s="105"/>
    </row>
    <row r="537" spans="1:48" s="78" customFormat="1" ht="19.5" customHeight="1" x14ac:dyDescent="0.25">
      <c r="A537" s="208">
        <f t="shared" si="10"/>
        <v>77.833333333333329</v>
      </c>
      <c r="B537" s="208">
        <f>YEAR(Data_NFI_t[[#This Row],[Distribution Date]])</f>
        <v>2012</v>
      </c>
      <c r="C537" s="719">
        <v>41099</v>
      </c>
      <c r="D537" s="395" t="s">
        <v>270</v>
      </c>
      <c r="E537" s="394"/>
      <c r="F537" s="395" t="s">
        <v>7</v>
      </c>
      <c r="G537" s="646" t="s">
        <v>17</v>
      </c>
      <c r="H537" s="646" t="s">
        <v>249</v>
      </c>
      <c r="I537" s="646"/>
      <c r="J537" s="646"/>
      <c r="K537" s="646"/>
      <c r="L537" s="42"/>
      <c r="M537" s="42"/>
      <c r="N537" s="42"/>
      <c r="O537" s="42">
        <v>12</v>
      </c>
      <c r="P537" s="42"/>
      <c r="Q537" s="42"/>
      <c r="R537" s="42"/>
      <c r="S537" s="42"/>
      <c r="T537" s="410"/>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55">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09">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09">
        <f>IF(NFI_Expiration=1,IF($A537&lt;VLOOKUP(X$5,NFI,5,0),1,0)*Data_NFI_t[[#This Row],[Solar Lantern]],0)</f>
        <v>0</v>
      </c>
      <c r="AT537" s="105" t="str">
        <f ca="1">IFERROR(OFFSET(Camp_List[P_Code],MATCH(Data_NFI_t[[#This Row],[Camp Name]],Camp_List[Camp Name],0)-1,0,1,1),"")</f>
        <v/>
      </c>
      <c r="AU537" s="412" t="str">
        <f ca="1">IFERROR(OFFSET(Camp_List[Status],MATCH(Data_NFI_t[[#This Row],[Camp Name]],Camp_List[Camp Name],0)-1,0,1,1),"")</f>
        <v/>
      </c>
      <c r="AV537" s="105"/>
    </row>
    <row r="538" spans="1:48" s="78" customFormat="1" ht="19.5" customHeight="1" x14ac:dyDescent="0.25">
      <c r="A538" s="208">
        <f t="shared" si="10"/>
        <v>77.833333333333329</v>
      </c>
      <c r="B538" s="208">
        <f>YEAR(Data_NFI_t[[#This Row],[Distribution Date]])</f>
        <v>2012</v>
      </c>
      <c r="C538" s="719">
        <v>41099</v>
      </c>
      <c r="D538" s="395" t="s">
        <v>270</v>
      </c>
      <c r="E538" s="394"/>
      <c r="F538" s="395" t="s">
        <v>7</v>
      </c>
      <c r="G538" s="646" t="s">
        <v>17</v>
      </c>
      <c r="H538" s="646" t="s">
        <v>246</v>
      </c>
      <c r="I538" s="646"/>
      <c r="J538" s="646"/>
      <c r="K538" s="646"/>
      <c r="L538" s="42"/>
      <c r="M538" s="42"/>
      <c r="N538" s="42"/>
      <c r="O538" s="42">
        <v>23</v>
      </c>
      <c r="P538" s="42"/>
      <c r="Q538" s="42"/>
      <c r="R538" s="42"/>
      <c r="S538" s="42"/>
      <c r="T538" s="410"/>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55">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09">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09">
        <f>IF(NFI_Expiration=1,IF($A538&lt;VLOOKUP(X$5,NFI,5,0),1,0)*Data_NFI_t[[#This Row],[Solar Lantern]],0)</f>
        <v>0</v>
      </c>
      <c r="AT538" s="105" t="str">
        <f ca="1">IFERROR(OFFSET(Camp_List[P_Code],MATCH(Data_NFI_t[[#This Row],[Camp Name]],Camp_List[Camp Name],0)-1,0,1,1),"")</f>
        <v/>
      </c>
      <c r="AU538" s="412" t="str">
        <f ca="1">IFERROR(OFFSET(Camp_List[Status],MATCH(Data_NFI_t[[#This Row],[Camp Name]],Camp_List[Camp Name],0)-1,0,1,1),"")</f>
        <v/>
      </c>
      <c r="AV538" s="105"/>
    </row>
    <row r="539" spans="1:48" s="78" customFormat="1" ht="19.5" customHeight="1" x14ac:dyDescent="0.25">
      <c r="A539" s="208">
        <f t="shared" si="10"/>
        <v>77.833333333333329</v>
      </c>
      <c r="B539" s="208">
        <f>YEAR(Data_NFI_t[[#This Row],[Distribution Date]])</f>
        <v>2012</v>
      </c>
      <c r="C539" s="719">
        <v>41099</v>
      </c>
      <c r="D539" s="395" t="s">
        <v>270</v>
      </c>
      <c r="E539" s="394"/>
      <c r="F539" s="395" t="s">
        <v>7</v>
      </c>
      <c r="G539" s="646" t="s">
        <v>17</v>
      </c>
      <c r="H539" s="646" t="s">
        <v>247</v>
      </c>
      <c r="I539" s="646"/>
      <c r="J539" s="646"/>
      <c r="K539" s="646"/>
      <c r="L539" s="42"/>
      <c r="M539" s="42"/>
      <c r="N539" s="42"/>
      <c r="O539" s="42">
        <v>36</v>
      </c>
      <c r="P539" s="42"/>
      <c r="Q539" s="42"/>
      <c r="R539" s="42"/>
      <c r="S539" s="42"/>
      <c r="T539" s="410"/>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55">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09">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09">
        <f>IF(NFI_Expiration=1,IF($A539&lt;VLOOKUP(X$5,NFI,5,0),1,0)*Data_NFI_t[[#This Row],[Solar Lantern]],0)</f>
        <v>0</v>
      </c>
      <c r="AT539" s="105" t="str">
        <f ca="1">IFERROR(OFFSET(Camp_List[P_Code],MATCH(Data_NFI_t[[#This Row],[Camp Name]],Camp_List[Camp Name],0)-1,0,1,1),"")</f>
        <v/>
      </c>
      <c r="AU539" s="412" t="str">
        <f ca="1">IFERROR(OFFSET(Camp_List[Status],MATCH(Data_NFI_t[[#This Row],[Camp Name]],Camp_List[Camp Name],0)-1,0,1,1),"")</f>
        <v/>
      </c>
      <c r="AV539" s="105"/>
    </row>
    <row r="540" spans="1:48" s="78" customFormat="1" ht="19.5" customHeight="1" x14ac:dyDescent="0.25">
      <c r="A540" s="208">
        <f t="shared" si="10"/>
        <v>77.833333333333329</v>
      </c>
      <c r="B540" s="208">
        <f>YEAR(Data_NFI_t[[#This Row],[Distribution Date]])</f>
        <v>2012</v>
      </c>
      <c r="C540" s="719">
        <v>41099</v>
      </c>
      <c r="D540" s="395" t="s">
        <v>270</v>
      </c>
      <c r="E540" s="394"/>
      <c r="F540" s="395" t="s">
        <v>7</v>
      </c>
      <c r="G540" s="646" t="s">
        <v>17</v>
      </c>
      <c r="H540" s="646" t="s">
        <v>248</v>
      </c>
      <c r="I540" s="646"/>
      <c r="J540" s="646"/>
      <c r="K540" s="646"/>
      <c r="L540" s="42"/>
      <c r="M540" s="42"/>
      <c r="N540" s="42"/>
      <c r="O540" s="42">
        <v>33</v>
      </c>
      <c r="P540" s="42"/>
      <c r="Q540" s="42"/>
      <c r="R540" s="42"/>
      <c r="S540" s="42"/>
      <c r="T540" s="410"/>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55">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09">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09">
        <f>IF(NFI_Expiration=1,IF($A540&lt;VLOOKUP(X$5,NFI,5,0),1,0)*Data_NFI_t[[#This Row],[Solar Lantern]],0)</f>
        <v>0</v>
      </c>
      <c r="AT540" s="105" t="str">
        <f ca="1">IFERROR(OFFSET(Camp_List[P_Code],MATCH(Data_NFI_t[[#This Row],[Camp Name]],Camp_List[Camp Name],0)-1,0,1,1),"")</f>
        <v/>
      </c>
      <c r="AU540" s="412" t="str">
        <f ca="1">IFERROR(OFFSET(Camp_List[Status],MATCH(Data_NFI_t[[#This Row],[Camp Name]],Camp_List[Camp Name],0)-1,0,1,1),"")</f>
        <v/>
      </c>
      <c r="AV540" s="105"/>
    </row>
    <row r="541" spans="1:48" s="78" customFormat="1" ht="19.5" customHeight="1" x14ac:dyDescent="0.25">
      <c r="A541" s="208">
        <f t="shared" si="10"/>
        <v>77.833333333333329</v>
      </c>
      <c r="B541" s="208">
        <f>YEAR(Data_NFI_t[[#This Row],[Distribution Date]])</f>
        <v>2012</v>
      </c>
      <c r="C541" s="719">
        <v>41099</v>
      </c>
      <c r="D541" s="395" t="s">
        <v>270</v>
      </c>
      <c r="E541" s="394"/>
      <c r="F541" s="395" t="s">
        <v>7</v>
      </c>
      <c r="G541" s="646" t="s">
        <v>17</v>
      </c>
      <c r="H541" s="646" t="s">
        <v>252</v>
      </c>
      <c r="I541" s="646"/>
      <c r="J541" s="646"/>
      <c r="K541" s="646"/>
      <c r="L541" s="42"/>
      <c r="M541" s="42"/>
      <c r="N541" s="42"/>
      <c r="O541" s="42">
        <v>3</v>
      </c>
      <c r="P541" s="42"/>
      <c r="Q541" s="42"/>
      <c r="R541" s="42"/>
      <c r="S541" s="42"/>
      <c r="T541" s="410"/>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55">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09">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09">
        <f>IF(NFI_Expiration=1,IF($A541&lt;VLOOKUP(X$5,NFI,5,0),1,0)*Data_NFI_t[[#This Row],[Solar Lantern]],0)</f>
        <v>0</v>
      </c>
      <c r="AT541" s="105" t="str">
        <f ca="1">IFERROR(OFFSET(Camp_List[P_Code],MATCH(Data_NFI_t[[#This Row],[Camp Name]],Camp_List[Camp Name],0)-1,0,1,1),"")</f>
        <v/>
      </c>
      <c r="AU541" s="412" t="str">
        <f ca="1">IFERROR(OFFSET(Camp_List[Status],MATCH(Data_NFI_t[[#This Row],[Camp Name]],Camp_List[Camp Name],0)-1,0,1,1),"")</f>
        <v/>
      </c>
      <c r="AV541" s="105"/>
    </row>
    <row r="542" spans="1:48" s="78" customFormat="1" ht="19.5" customHeight="1" x14ac:dyDescent="0.25">
      <c r="A542" s="208">
        <f t="shared" si="10"/>
        <v>77.833333333333329</v>
      </c>
      <c r="B542" s="208">
        <f>YEAR(Data_NFI_t[[#This Row],[Distribution Date]])</f>
        <v>2012</v>
      </c>
      <c r="C542" s="719">
        <v>41099</v>
      </c>
      <c r="D542" s="395" t="s">
        <v>270</v>
      </c>
      <c r="E542" s="394"/>
      <c r="F542" s="395" t="s">
        <v>7</v>
      </c>
      <c r="G542" s="646" t="s">
        <v>17</v>
      </c>
      <c r="H542" s="646" t="s">
        <v>86</v>
      </c>
      <c r="I542" s="646"/>
      <c r="J542" s="646"/>
      <c r="K542" s="646"/>
      <c r="L542" s="42"/>
      <c r="M542" s="42"/>
      <c r="N542" s="42"/>
      <c r="O542" s="42">
        <v>27</v>
      </c>
      <c r="P542" s="42"/>
      <c r="Q542" s="42"/>
      <c r="R542" s="42"/>
      <c r="S542" s="42"/>
      <c r="T542" s="410"/>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55">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09">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09">
        <f>IF(NFI_Expiration=1,IF($A542&lt;VLOOKUP(X$5,NFI,5,0),1,0)*Data_NFI_t[[#This Row],[Solar Lantern]],0)</f>
        <v>0</v>
      </c>
      <c r="AT542" s="105" t="str">
        <f ca="1">IFERROR(OFFSET(Camp_List[P_Code],MATCH(Data_NFI_t[[#This Row],[Camp Name]],Camp_List[Camp Name],0)-1,0,1,1),"")</f>
        <v>MMR012CMP067</v>
      </c>
      <c r="AU542" s="412" t="str">
        <f ca="1">IFERROR(OFFSET(Camp_List[Status],MATCH(Data_NFI_t[[#This Row],[Camp Name]],Camp_List[Camp Name],0)-1,0,1,1),"")</f>
        <v>Close</v>
      </c>
      <c r="AV542" s="105"/>
    </row>
    <row r="543" spans="1:48" s="78" customFormat="1" ht="19.5" customHeight="1" x14ac:dyDescent="0.25">
      <c r="A543" s="208">
        <f t="shared" ref="A543:A573" si="11">IF(ISBLANK(C543),"",(Report_Date-C543)/30)</f>
        <v>77.833333333333329</v>
      </c>
      <c r="B543" s="208">
        <f>YEAR(Data_NFI_t[[#This Row],[Distribution Date]])</f>
        <v>2012</v>
      </c>
      <c r="C543" s="719">
        <v>41099</v>
      </c>
      <c r="D543" s="395" t="s">
        <v>270</v>
      </c>
      <c r="E543" s="394"/>
      <c r="F543" s="395" t="s">
        <v>7</v>
      </c>
      <c r="G543" s="646" t="s">
        <v>17</v>
      </c>
      <c r="H543" s="646" t="s">
        <v>251</v>
      </c>
      <c r="I543" s="646"/>
      <c r="J543" s="646"/>
      <c r="K543" s="646"/>
      <c r="L543" s="42"/>
      <c r="M543" s="42"/>
      <c r="N543" s="42"/>
      <c r="O543" s="42">
        <v>19</v>
      </c>
      <c r="P543" s="42"/>
      <c r="Q543" s="42"/>
      <c r="R543" s="42"/>
      <c r="S543" s="42"/>
      <c r="T543" s="410"/>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55">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09">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09">
        <f>IF(NFI_Expiration=1,IF($A543&lt;VLOOKUP(X$5,NFI,5,0),1,0)*Data_NFI_t[[#This Row],[Solar Lantern]],0)</f>
        <v>0</v>
      </c>
      <c r="AT543" s="105" t="str">
        <f ca="1">IFERROR(OFFSET(Camp_List[P_Code],MATCH(Data_NFI_t[[#This Row],[Camp Name]],Camp_List[Camp Name],0)-1,0,1,1),"")</f>
        <v/>
      </c>
      <c r="AU543" s="412" t="str">
        <f ca="1">IFERROR(OFFSET(Camp_List[Status],MATCH(Data_NFI_t[[#This Row],[Camp Name]],Camp_List[Camp Name],0)-1,0,1,1),"")</f>
        <v/>
      </c>
      <c r="AV543" s="105"/>
    </row>
    <row r="544" spans="1:48" s="78" customFormat="1" ht="19.5" customHeight="1" x14ac:dyDescent="0.25">
      <c r="A544" s="208">
        <f t="shared" si="11"/>
        <v>77.900000000000006</v>
      </c>
      <c r="B544" s="208">
        <f>YEAR(Data_NFI_t[[#This Row],[Distribution Date]])</f>
        <v>2012</v>
      </c>
      <c r="C544" s="719">
        <v>41097</v>
      </c>
      <c r="D544" s="395" t="s">
        <v>270</v>
      </c>
      <c r="E544" s="394"/>
      <c r="F544" s="395" t="s">
        <v>7</v>
      </c>
      <c r="G544" s="646" t="s">
        <v>17</v>
      </c>
      <c r="H544" s="646" t="s">
        <v>244</v>
      </c>
      <c r="I544" s="646"/>
      <c r="J544" s="646"/>
      <c r="K544" s="646"/>
      <c r="L544" s="42"/>
      <c r="M544" s="42"/>
      <c r="N544" s="42"/>
      <c r="O544" s="42">
        <v>33</v>
      </c>
      <c r="P544" s="42"/>
      <c r="Q544" s="42"/>
      <c r="R544" s="42"/>
      <c r="S544" s="42"/>
      <c r="T544" s="410"/>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55">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09">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09">
        <f>IF(NFI_Expiration=1,IF($A544&lt;VLOOKUP(X$5,NFI,5,0),1,0)*Data_NFI_t[[#This Row],[Solar Lantern]],0)</f>
        <v>0</v>
      </c>
      <c r="AT544" s="105" t="str">
        <f ca="1">IFERROR(OFFSET(Camp_List[P_Code],MATCH(Data_NFI_t[[#This Row],[Camp Name]],Camp_List[Camp Name],0)-1,0,1,1),"")</f>
        <v/>
      </c>
      <c r="AU544" s="412" t="str">
        <f ca="1">IFERROR(OFFSET(Camp_List[Status],MATCH(Data_NFI_t[[#This Row],[Camp Name]],Camp_List[Camp Name],0)-1,0,1,1),"")</f>
        <v/>
      </c>
      <c r="AV544" s="105"/>
    </row>
    <row r="545" spans="1:48" s="78" customFormat="1" ht="19.5" customHeight="1" x14ac:dyDescent="0.25">
      <c r="A545" s="208">
        <f t="shared" si="11"/>
        <v>77.900000000000006</v>
      </c>
      <c r="B545" s="208">
        <f>YEAR(Data_NFI_t[[#This Row],[Distribution Date]])</f>
        <v>2012</v>
      </c>
      <c r="C545" s="719">
        <v>41097</v>
      </c>
      <c r="D545" s="395" t="s">
        <v>270</v>
      </c>
      <c r="E545" s="394"/>
      <c r="F545" s="395" t="s">
        <v>7</v>
      </c>
      <c r="G545" s="646" t="s">
        <v>17</v>
      </c>
      <c r="H545" s="646" t="s">
        <v>81</v>
      </c>
      <c r="I545" s="646"/>
      <c r="J545" s="646"/>
      <c r="K545" s="646"/>
      <c r="L545" s="42"/>
      <c r="M545" s="42"/>
      <c r="N545" s="42"/>
      <c r="O545" s="42">
        <v>9</v>
      </c>
      <c r="P545" s="42"/>
      <c r="Q545" s="42"/>
      <c r="R545" s="42"/>
      <c r="S545" s="42"/>
      <c r="T545" s="410"/>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55">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09">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09">
        <f>IF(NFI_Expiration=1,IF($A545&lt;VLOOKUP(X$5,NFI,5,0),1,0)*Data_NFI_t[[#This Row],[Solar Lantern]],0)</f>
        <v>0</v>
      </c>
      <c r="AT545" s="105" t="str">
        <f ca="1">IFERROR(OFFSET(Camp_List[P_Code],MATCH(Data_NFI_t[[#This Row],[Camp Name]],Camp_List[Camp Name],0)-1,0,1,1),"")</f>
        <v>MMR012CMP062</v>
      </c>
      <c r="AU545" s="412" t="str">
        <f ca="1">IFERROR(OFFSET(Camp_List[Status],MATCH(Data_NFI_t[[#This Row],[Camp Name]],Camp_List[Camp Name],0)-1,0,1,1),"")</f>
        <v>Close</v>
      </c>
      <c r="AV545" s="105"/>
    </row>
    <row r="546" spans="1:48" s="78" customFormat="1" ht="19.5" customHeight="1" x14ac:dyDescent="0.25">
      <c r="A546" s="208">
        <f t="shared" si="11"/>
        <v>77.900000000000006</v>
      </c>
      <c r="B546" s="208">
        <f>YEAR(Data_NFI_t[[#This Row],[Distribution Date]])</f>
        <v>2012</v>
      </c>
      <c r="C546" s="719">
        <v>41097</v>
      </c>
      <c r="D546" s="395" t="s">
        <v>270</v>
      </c>
      <c r="E546" s="394"/>
      <c r="F546" s="395" t="s">
        <v>7</v>
      </c>
      <c r="G546" s="646" t="s">
        <v>17</v>
      </c>
      <c r="H546" s="646" t="s">
        <v>84</v>
      </c>
      <c r="I546" s="646"/>
      <c r="J546" s="646"/>
      <c r="K546" s="646"/>
      <c r="L546" s="42"/>
      <c r="M546" s="42"/>
      <c r="N546" s="42"/>
      <c r="O546" s="42">
        <v>201</v>
      </c>
      <c r="P546" s="42"/>
      <c r="Q546" s="42"/>
      <c r="R546" s="42"/>
      <c r="S546" s="42"/>
      <c r="T546" s="410"/>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55">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09">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09">
        <f>IF(NFI_Expiration=1,IF($A546&lt;VLOOKUP(X$5,NFI,5,0),1,0)*Data_NFI_t[[#This Row],[Solar Lantern]],0)</f>
        <v>0</v>
      </c>
      <c r="AT546" s="105" t="str">
        <f ca="1">IFERROR(OFFSET(Camp_List[P_Code],MATCH(Data_NFI_t[[#This Row],[Camp Name]],Camp_List[Camp Name],0)-1,0,1,1),"")</f>
        <v>MMR012CMP065</v>
      </c>
      <c r="AU546" s="412" t="str">
        <f ca="1">IFERROR(OFFSET(Camp_List[Status],MATCH(Data_NFI_t[[#This Row],[Camp Name]],Camp_List[Camp Name],0)-1,0,1,1),"")</f>
        <v>Close</v>
      </c>
      <c r="AV546" s="105"/>
    </row>
    <row r="547" spans="1:48" s="78" customFormat="1" ht="19.5" customHeight="1" x14ac:dyDescent="0.25">
      <c r="A547" s="208">
        <f t="shared" si="11"/>
        <v>77.900000000000006</v>
      </c>
      <c r="B547" s="208">
        <f>YEAR(Data_NFI_t[[#This Row],[Distribution Date]])</f>
        <v>2012</v>
      </c>
      <c r="C547" s="719">
        <v>41097</v>
      </c>
      <c r="D547" s="395" t="s">
        <v>270</v>
      </c>
      <c r="E547" s="394"/>
      <c r="F547" s="395" t="s">
        <v>7</v>
      </c>
      <c r="G547" s="646" t="s">
        <v>17</v>
      </c>
      <c r="H547" s="646" t="s">
        <v>93</v>
      </c>
      <c r="I547" s="646"/>
      <c r="J547" s="646"/>
      <c r="K547" s="646"/>
      <c r="L547" s="42"/>
      <c r="M547" s="42"/>
      <c r="N547" s="42"/>
      <c r="O547" s="42">
        <v>52</v>
      </c>
      <c r="P547" s="42"/>
      <c r="Q547" s="42"/>
      <c r="R547" s="42"/>
      <c r="S547" s="42"/>
      <c r="T547" s="410"/>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55">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09">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09">
        <f>IF(NFI_Expiration=1,IF($A547&lt;VLOOKUP(X$5,NFI,5,0),1,0)*Data_NFI_t[[#This Row],[Solar Lantern]],0)</f>
        <v>0</v>
      </c>
      <c r="AT547" s="105" t="str">
        <f ca="1">IFERROR(OFFSET(Camp_List[P_Code],MATCH(Data_NFI_t[[#This Row],[Camp Name]],Camp_List[Camp Name],0)-1,0,1,1),"")</f>
        <v>MMR012CMP074</v>
      </c>
      <c r="AU547" s="412" t="str">
        <f ca="1">IFERROR(OFFSET(Camp_List[Status],MATCH(Data_NFI_t[[#This Row],[Camp Name]],Camp_List[Camp Name],0)-1,0,1,1),"")</f>
        <v>Close</v>
      </c>
      <c r="AV547" s="105"/>
    </row>
    <row r="548" spans="1:48" s="78" customFormat="1" ht="19.5" customHeight="1" x14ac:dyDescent="0.25">
      <c r="A548" s="208">
        <f t="shared" si="11"/>
        <v>77.966666666666669</v>
      </c>
      <c r="B548" s="208">
        <f>YEAR(Data_NFI_t[[#This Row],[Distribution Date]])</f>
        <v>2012</v>
      </c>
      <c r="C548" s="719">
        <v>41095</v>
      </c>
      <c r="D548" s="395" t="s">
        <v>270</v>
      </c>
      <c r="E548" s="394"/>
      <c r="F548" s="395" t="s">
        <v>7</v>
      </c>
      <c r="G548" s="646" t="s">
        <v>17</v>
      </c>
      <c r="H548" s="646" t="s">
        <v>88</v>
      </c>
      <c r="I548" s="646"/>
      <c r="J548" s="646"/>
      <c r="K548" s="646"/>
      <c r="L548" s="42"/>
      <c r="M548" s="42"/>
      <c r="N548" s="42"/>
      <c r="O548" s="42">
        <v>43</v>
      </c>
      <c r="P548" s="42"/>
      <c r="Q548" s="42"/>
      <c r="R548" s="42"/>
      <c r="S548" s="42"/>
      <c r="T548" s="410"/>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55">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09">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09">
        <f>IF(NFI_Expiration=1,IF($A548&lt;VLOOKUP(X$5,NFI,5,0),1,0)*Data_NFI_t[[#This Row],[Solar Lantern]],0)</f>
        <v>0</v>
      </c>
      <c r="AT548" s="105" t="str">
        <f ca="1">IFERROR(OFFSET(Camp_List[P_Code],MATCH(Data_NFI_t[[#This Row],[Camp Name]],Camp_List[Camp Name],0)-1,0,1,1),"")</f>
        <v>MMR012CMP069</v>
      </c>
      <c r="AU548" s="412" t="str">
        <f ca="1">IFERROR(OFFSET(Camp_List[Status],MATCH(Data_NFI_t[[#This Row],[Camp Name]],Camp_List[Camp Name],0)-1,0,1,1),"")</f>
        <v>Close</v>
      </c>
      <c r="AV548" s="105"/>
    </row>
    <row r="549" spans="1:48" s="78" customFormat="1" ht="19.5" customHeight="1" x14ac:dyDescent="0.25">
      <c r="A549" s="208">
        <f t="shared" si="11"/>
        <v>77.966666666666669</v>
      </c>
      <c r="B549" s="208">
        <f>YEAR(Data_NFI_t[[#This Row],[Distribution Date]])</f>
        <v>2012</v>
      </c>
      <c r="C549" s="719">
        <v>41095</v>
      </c>
      <c r="D549" s="395" t="s">
        <v>270</v>
      </c>
      <c r="E549" s="394"/>
      <c r="F549" s="395" t="s">
        <v>7</v>
      </c>
      <c r="G549" s="646" t="s">
        <v>17</v>
      </c>
      <c r="H549" s="646" t="s">
        <v>243</v>
      </c>
      <c r="I549" s="646"/>
      <c r="J549" s="646"/>
      <c r="K549" s="646"/>
      <c r="L549" s="42"/>
      <c r="M549" s="42"/>
      <c r="N549" s="42"/>
      <c r="O549" s="42">
        <v>171</v>
      </c>
      <c r="P549" s="42"/>
      <c r="Q549" s="42"/>
      <c r="R549" s="42"/>
      <c r="S549" s="42"/>
      <c r="T549" s="410"/>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55">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09">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09">
        <f>IF(NFI_Expiration=1,IF($A549&lt;VLOOKUP(X$5,NFI,5,0),1,0)*Data_NFI_t[[#This Row],[Solar Lantern]],0)</f>
        <v>0</v>
      </c>
      <c r="AT549" s="105" t="str">
        <f ca="1">IFERROR(OFFSET(Camp_List[P_Code],MATCH(Data_NFI_t[[#This Row],[Camp Name]],Camp_List[Camp Name],0)-1,0,1,1),"")</f>
        <v/>
      </c>
      <c r="AU549" s="412" t="str">
        <f ca="1">IFERROR(OFFSET(Camp_List[Status],MATCH(Data_NFI_t[[#This Row],[Camp Name]],Camp_List[Camp Name],0)-1,0,1,1),"")</f>
        <v/>
      </c>
      <c r="AV549" s="105"/>
    </row>
    <row r="550" spans="1:48" s="78" customFormat="1" ht="19.5" customHeight="1" x14ac:dyDescent="0.25">
      <c r="A550" s="208">
        <f t="shared" si="11"/>
        <v>77.966666666666669</v>
      </c>
      <c r="B550" s="208">
        <f>YEAR(Data_NFI_t[[#This Row],[Distribution Date]])</f>
        <v>2012</v>
      </c>
      <c r="C550" s="719">
        <v>41095</v>
      </c>
      <c r="D550" s="395" t="s">
        <v>270</v>
      </c>
      <c r="E550" s="394"/>
      <c r="F550" s="395" t="s">
        <v>7</v>
      </c>
      <c r="G550" s="646" t="s">
        <v>17</v>
      </c>
      <c r="H550" s="646" t="s">
        <v>61</v>
      </c>
      <c r="I550" s="646"/>
      <c r="J550" s="646"/>
      <c r="K550" s="646"/>
      <c r="L550" s="42"/>
      <c r="M550" s="42"/>
      <c r="N550" s="42"/>
      <c r="O550" s="42">
        <v>18</v>
      </c>
      <c r="P550" s="42"/>
      <c r="Q550" s="42"/>
      <c r="R550" s="42"/>
      <c r="S550" s="42"/>
      <c r="T550" s="410"/>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55">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09">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09">
        <f>IF(NFI_Expiration=1,IF($A550&lt;VLOOKUP(X$5,NFI,5,0),1,0)*Data_NFI_t[[#This Row],[Solar Lantern]],0)</f>
        <v>0</v>
      </c>
      <c r="AT550" s="105" t="str">
        <f ca="1">IFERROR(OFFSET(Camp_List[P_Code],MATCH(Data_NFI_t[[#This Row],[Camp Name]],Camp_List[Camp Name],0)-1,0,1,1),"")</f>
        <v>MMR012CMP041</v>
      </c>
      <c r="AU550" s="412" t="str">
        <f ca="1">IFERROR(OFFSET(Camp_List[Status],MATCH(Data_NFI_t[[#This Row],[Camp Name]],Camp_List[Camp Name],0)-1,0,1,1),"")</f>
        <v>Open</v>
      </c>
      <c r="AV550" s="105"/>
    </row>
    <row r="551" spans="1:48" s="78" customFormat="1" ht="19.5" customHeight="1" x14ac:dyDescent="0.25">
      <c r="A551" s="208">
        <f t="shared" si="11"/>
        <v>77.966666666666669</v>
      </c>
      <c r="B551" s="208">
        <f>YEAR(Data_NFI_t[[#This Row],[Distribution Date]])</f>
        <v>2012</v>
      </c>
      <c r="C551" s="719">
        <v>41095</v>
      </c>
      <c r="D551" s="395" t="s">
        <v>270</v>
      </c>
      <c r="E551" s="394"/>
      <c r="F551" s="395" t="s">
        <v>7</v>
      </c>
      <c r="G551" s="646" t="s">
        <v>17</v>
      </c>
      <c r="H551" s="646" t="s">
        <v>92</v>
      </c>
      <c r="I551" s="646"/>
      <c r="J551" s="646"/>
      <c r="K551" s="646"/>
      <c r="L551" s="42"/>
      <c r="M551" s="42"/>
      <c r="N551" s="42"/>
      <c r="O551" s="42">
        <v>36</v>
      </c>
      <c r="P551" s="42"/>
      <c r="Q551" s="42"/>
      <c r="R551" s="42"/>
      <c r="S551" s="42"/>
      <c r="T551" s="410"/>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55">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09">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09">
        <f>IF(NFI_Expiration=1,IF($A551&lt;VLOOKUP(X$5,NFI,5,0),1,0)*Data_NFI_t[[#This Row],[Solar Lantern]],0)</f>
        <v>0</v>
      </c>
      <c r="AT551" s="105" t="str">
        <f ca="1">IFERROR(OFFSET(Camp_List[P_Code],MATCH(Data_NFI_t[[#This Row],[Camp Name]],Camp_List[Camp Name],0)-1,0,1,1),"")</f>
        <v>MMR012CMP073</v>
      </c>
      <c r="AU551" s="412" t="str">
        <f ca="1">IFERROR(OFFSET(Camp_List[Status],MATCH(Data_NFI_t[[#This Row],[Camp Name]],Camp_List[Camp Name],0)-1,0,1,1),"")</f>
        <v>Close</v>
      </c>
      <c r="AV551" s="105"/>
    </row>
    <row r="552" spans="1:48" s="78" customFormat="1" ht="19.5" customHeight="1" x14ac:dyDescent="0.25">
      <c r="A552" s="208">
        <f t="shared" si="11"/>
        <v>77.966666666666669</v>
      </c>
      <c r="B552" s="208">
        <f>YEAR(Data_NFI_t[[#This Row],[Distribution Date]])</f>
        <v>2012</v>
      </c>
      <c r="C552" s="719">
        <v>41095</v>
      </c>
      <c r="D552" s="395" t="s">
        <v>270</v>
      </c>
      <c r="E552" s="394"/>
      <c r="F552" s="395" t="s">
        <v>7</v>
      </c>
      <c r="G552" s="646" t="s">
        <v>17</v>
      </c>
      <c r="H552" s="646" t="s">
        <v>80</v>
      </c>
      <c r="I552" s="646"/>
      <c r="J552" s="646"/>
      <c r="K552" s="646"/>
      <c r="L552" s="42"/>
      <c r="M552" s="42"/>
      <c r="N552" s="42"/>
      <c r="O552" s="42">
        <v>69</v>
      </c>
      <c r="P552" s="42"/>
      <c r="Q552" s="42"/>
      <c r="R552" s="42"/>
      <c r="S552" s="42"/>
      <c r="T552" s="410"/>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55">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09">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09">
        <f>IF(NFI_Expiration=1,IF($A552&lt;VLOOKUP(X$5,NFI,5,0),1,0)*Data_NFI_t[[#This Row],[Solar Lantern]],0)</f>
        <v>0</v>
      </c>
      <c r="AT552" s="105" t="str">
        <f ca="1">IFERROR(OFFSET(Camp_List[P_Code],MATCH(Data_NFI_t[[#This Row],[Camp Name]],Camp_List[Camp Name],0)-1,0,1,1),"")</f>
        <v>MMR012CMP061</v>
      </c>
      <c r="AU552" s="412" t="str">
        <f ca="1">IFERROR(OFFSET(Camp_List[Status],MATCH(Data_NFI_t[[#This Row],[Camp Name]],Camp_List[Camp Name],0)-1,0,1,1),"")</f>
        <v>Close</v>
      </c>
      <c r="AV552" s="105"/>
    </row>
    <row r="553" spans="1:48" s="78" customFormat="1" ht="19.5" customHeight="1" x14ac:dyDescent="0.25">
      <c r="A553" s="208">
        <f t="shared" si="11"/>
        <v>77.966666666666669</v>
      </c>
      <c r="B553" s="208">
        <f>YEAR(Data_NFI_t[[#This Row],[Distribution Date]])</f>
        <v>2012</v>
      </c>
      <c r="C553" s="719">
        <v>41095</v>
      </c>
      <c r="D553" s="395" t="s">
        <v>270</v>
      </c>
      <c r="E553" s="394"/>
      <c r="F553" s="395" t="s">
        <v>7</v>
      </c>
      <c r="G553" s="646" t="s">
        <v>17</v>
      </c>
      <c r="H553" s="646" t="s">
        <v>62</v>
      </c>
      <c r="I553" s="646"/>
      <c r="J553" s="646"/>
      <c r="K553" s="646"/>
      <c r="L553" s="42"/>
      <c r="M553" s="42"/>
      <c r="N553" s="42"/>
      <c r="O553" s="42">
        <v>132</v>
      </c>
      <c r="P553" s="42"/>
      <c r="Q553" s="42"/>
      <c r="R553" s="42"/>
      <c r="S553" s="42"/>
      <c r="T553" s="410"/>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55">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09">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09">
        <f>IF(NFI_Expiration=1,IF($A553&lt;VLOOKUP(X$5,NFI,5,0),1,0)*Data_NFI_t[[#This Row],[Solar Lantern]],0)</f>
        <v>0</v>
      </c>
      <c r="AT553" s="105" t="str">
        <f ca="1">IFERROR(OFFSET(Camp_List[P_Code],MATCH(Data_NFI_t[[#This Row],[Camp Name]],Camp_List[Camp Name],0)-1,0,1,1),"")</f>
        <v/>
      </c>
      <c r="AU553" s="412" t="str">
        <f ca="1">IFERROR(OFFSET(Camp_List[Status],MATCH(Data_NFI_t[[#This Row],[Camp Name]],Camp_List[Camp Name],0)-1,0,1,1),"")</f>
        <v/>
      </c>
      <c r="AV553" s="105"/>
    </row>
    <row r="554" spans="1:48" s="78" customFormat="1" ht="19.5" customHeight="1" x14ac:dyDescent="0.25">
      <c r="A554" s="208">
        <f t="shared" si="11"/>
        <v>77.966666666666669</v>
      </c>
      <c r="B554" s="208">
        <f>YEAR(Data_NFI_t[[#This Row],[Distribution Date]])</f>
        <v>2012</v>
      </c>
      <c r="C554" s="719">
        <v>41095</v>
      </c>
      <c r="D554" s="395" t="s">
        <v>270</v>
      </c>
      <c r="E554" s="394"/>
      <c r="F554" s="395" t="s">
        <v>7</v>
      </c>
      <c r="G554" s="646" t="s">
        <v>17</v>
      </c>
      <c r="H554" s="646" t="s">
        <v>85</v>
      </c>
      <c r="I554" s="646"/>
      <c r="J554" s="646"/>
      <c r="K554" s="646"/>
      <c r="L554" s="42"/>
      <c r="M554" s="42"/>
      <c r="N554" s="42"/>
      <c r="O554" s="42">
        <v>280</v>
      </c>
      <c r="P554" s="42"/>
      <c r="Q554" s="42"/>
      <c r="R554" s="42"/>
      <c r="S554" s="42"/>
      <c r="T554" s="410"/>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55">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09">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09">
        <f>IF(NFI_Expiration=1,IF($A554&lt;VLOOKUP(X$5,NFI,5,0),1,0)*Data_NFI_t[[#This Row],[Solar Lantern]],0)</f>
        <v>0</v>
      </c>
      <c r="AT554" s="105" t="str">
        <f ca="1">IFERROR(OFFSET(Camp_List[P_Code],MATCH(Data_NFI_t[[#This Row],[Camp Name]],Camp_List[Camp Name],0)-1,0,1,1),"")</f>
        <v>MMR012CMP066</v>
      </c>
      <c r="AU554" s="412" t="str">
        <f ca="1">IFERROR(OFFSET(Camp_List[Status],MATCH(Data_NFI_t[[#This Row],[Camp Name]],Camp_List[Camp Name],0)-1,0,1,1),"")</f>
        <v>Close</v>
      </c>
      <c r="AV554" s="105"/>
    </row>
    <row r="555" spans="1:48" s="78" customFormat="1" ht="19.5" customHeight="1" x14ac:dyDescent="0.25">
      <c r="A555" s="208">
        <f t="shared" si="11"/>
        <v>78.13333333333334</v>
      </c>
      <c r="B555" s="208">
        <f>YEAR(Data_NFI_t[[#This Row],[Distribution Date]])</f>
        <v>2012</v>
      </c>
      <c r="C555" s="719">
        <v>41090</v>
      </c>
      <c r="D555" s="395" t="s">
        <v>270</v>
      </c>
      <c r="E555" s="394"/>
      <c r="F555" s="395" t="s">
        <v>7</v>
      </c>
      <c r="G555" s="646" t="s">
        <v>17</v>
      </c>
      <c r="H555" s="646" t="s">
        <v>75</v>
      </c>
      <c r="I555" s="646"/>
      <c r="J555" s="646"/>
      <c r="K555" s="646"/>
      <c r="L555" s="42"/>
      <c r="M555" s="42"/>
      <c r="N555" s="42"/>
      <c r="O555" s="42">
        <v>103</v>
      </c>
      <c r="P555" s="42"/>
      <c r="Q555" s="42"/>
      <c r="R555" s="42"/>
      <c r="S555" s="42"/>
      <c r="T555" s="410"/>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55">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09">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09">
        <f>IF(NFI_Expiration=1,IF($A555&lt;VLOOKUP(X$5,NFI,5,0),1,0)*Data_NFI_t[[#This Row],[Solar Lantern]],0)</f>
        <v>0</v>
      </c>
      <c r="AT555" s="105" t="str">
        <f ca="1">IFERROR(OFFSET(Camp_List[P_Code],MATCH(Data_NFI_t[[#This Row],[Camp Name]],Camp_List[Camp Name],0)-1,0,1,1),"")</f>
        <v>MMR012CMP055</v>
      </c>
      <c r="AU555" s="412" t="str">
        <f ca="1">IFERROR(OFFSET(Camp_List[Status],MATCH(Data_NFI_t[[#This Row],[Camp Name]],Camp_List[Camp Name],0)-1,0,1,1),"")</f>
        <v>Close</v>
      </c>
      <c r="AV555" s="105"/>
    </row>
    <row r="556" spans="1:48" s="78" customFormat="1" ht="19.5" customHeight="1" x14ac:dyDescent="0.25">
      <c r="A556" s="208">
        <f t="shared" si="11"/>
        <v>78.13333333333334</v>
      </c>
      <c r="B556" s="208">
        <f>YEAR(Data_NFI_t[[#This Row],[Distribution Date]])</f>
        <v>2012</v>
      </c>
      <c r="C556" s="719">
        <v>41090</v>
      </c>
      <c r="D556" s="395" t="s">
        <v>270</v>
      </c>
      <c r="E556" s="394"/>
      <c r="F556" s="395" t="s">
        <v>7</v>
      </c>
      <c r="G556" s="646" t="s">
        <v>17</v>
      </c>
      <c r="H556" s="646" t="s">
        <v>240</v>
      </c>
      <c r="I556" s="646"/>
      <c r="J556" s="646"/>
      <c r="K556" s="646"/>
      <c r="L556" s="42"/>
      <c r="M556" s="42"/>
      <c r="N556" s="42"/>
      <c r="O556" s="42">
        <v>36</v>
      </c>
      <c r="P556" s="42"/>
      <c r="Q556" s="42"/>
      <c r="R556" s="42"/>
      <c r="S556" s="42"/>
      <c r="T556" s="410"/>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55">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09">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09">
        <f>IF(NFI_Expiration=1,IF($A556&lt;VLOOKUP(X$5,NFI,5,0),1,0)*Data_NFI_t[[#This Row],[Solar Lantern]],0)</f>
        <v>0</v>
      </c>
      <c r="AT556" s="105" t="str">
        <f ca="1">IFERROR(OFFSET(Camp_List[P_Code],MATCH(Data_NFI_t[[#This Row],[Camp Name]],Camp_List[Camp Name],0)-1,0,1,1),"")</f>
        <v/>
      </c>
      <c r="AU556" s="412" t="str">
        <f ca="1">IFERROR(OFFSET(Camp_List[Status],MATCH(Data_NFI_t[[#This Row],[Camp Name]],Camp_List[Camp Name],0)-1,0,1,1),"")</f>
        <v/>
      </c>
      <c r="AV556" s="105"/>
    </row>
    <row r="557" spans="1:48" s="78" customFormat="1" ht="19.5" customHeight="1" x14ac:dyDescent="0.25">
      <c r="A557" s="208">
        <f t="shared" si="11"/>
        <v>78.13333333333334</v>
      </c>
      <c r="B557" s="208">
        <f>YEAR(Data_NFI_t[[#This Row],[Distribution Date]])</f>
        <v>2012</v>
      </c>
      <c r="C557" s="719">
        <v>41090</v>
      </c>
      <c r="D557" s="395" t="s">
        <v>270</v>
      </c>
      <c r="E557" s="394"/>
      <c r="F557" s="395" t="s">
        <v>7</v>
      </c>
      <c r="G557" s="646" t="s">
        <v>17</v>
      </c>
      <c r="H557" s="646" t="s">
        <v>242</v>
      </c>
      <c r="I557" s="646"/>
      <c r="J557" s="646"/>
      <c r="K557" s="646"/>
      <c r="L557" s="42"/>
      <c r="M557" s="42"/>
      <c r="N557" s="42"/>
      <c r="O557" s="42">
        <v>36</v>
      </c>
      <c r="P557" s="42"/>
      <c r="Q557" s="42"/>
      <c r="R557" s="42"/>
      <c r="S557" s="42"/>
      <c r="T557" s="410"/>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55">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09">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09">
        <f>IF(NFI_Expiration=1,IF($A557&lt;VLOOKUP(X$5,NFI,5,0),1,0)*Data_NFI_t[[#This Row],[Solar Lantern]],0)</f>
        <v>0</v>
      </c>
      <c r="AT557" s="105" t="str">
        <f ca="1">IFERROR(OFFSET(Camp_List[P_Code],MATCH(Data_NFI_t[[#This Row],[Camp Name]],Camp_List[Camp Name],0)-1,0,1,1),"")</f>
        <v/>
      </c>
      <c r="AU557" s="412" t="str">
        <f ca="1">IFERROR(OFFSET(Camp_List[Status],MATCH(Data_NFI_t[[#This Row],[Camp Name]],Camp_List[Camp Name],0)-1,0,1,1),"")</f>
        <v/>
      </c>
      <c r="AV557" s="105"/>
    </row>
    <row r="558" spans="1:48" s="78" customFormat="1" ht="19.5" customHeight="1" x14ac:dyDescent="0.25">
      <c r="A558" s="208">
        <f t="shared" si="11"/>
        <v>78.13333333333334</v>
      </c>
      <c r="B558" s="208">
        <f>YEAR(Data_NFI_t[[#This Row],[Distribution Date]])</f>
        <v>2012</v>
      </c>
      <c r="C558" s="719">
        <v>41090</v>
      </c>
      <c r="D558" s="395" t="s">
        <v>270</v>
      </c>
      <c r="E558" s="394"/>
      <c r="F558" s="395" t="s">
        <v>7</v>
      </c>
      <c r="G558" s="646" t="s">
        <v>17</v>
      </c>
      <c r="H558" s="646" t="s">
        <v>83</v>
      </c>
      <c r="I558" s="646"/>
      <c r="J558" s="646"/>
      <c r="K558" s="646"/>
      <c r="L558" s="42"/>
      <c r="M558" s="42"/>
      <c r="N558" s="42"/>
      <c r="O558" s="42">
        <v>9</v>
      </c>
      <c r="P558" s="42"/>
      <c r="Q558" s="42"/>
      <c r="R558" s="42"/>
      <c r="S558" s="42"/>
      <c r="T558" s="410"/>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55">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09">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09">
        <f>IF(NFI_Expiration=1,IF($A558&lt;VLOOKUP(X$5,NFI,5,0),1,0)*Data_NFI_t[[#This Row],[Solar Lantern]],0)</f>
        <v>0</v>
      </c>
      <c r="AT558" s="105" t="str">
        <f ca="1">IFERROR(OFFSET(Camp_List[P_Code],MATCH(Data_NFI_t[[#This Row],[Camp Name]],Camp_List[Camp Name],0)-1,0,1,1),"")</f>
        <v>MMR012CMP064</v>
      </c>
      <c r="AU558" s="412" t="str">
        <f ca="1">IFERROR(OFFSET(Camp_List[Status],MATCH(Data_NFI_t[[#This Row],[Camp Name]],Camp_List[Camp Name],0)-1,0,1,1),"")</f>
        <v>Close</v>
      </c>
      <c r="AV558" s="105"/>
    </row>
    <row r="559" spans="1:48" s="78" customFormat="1" ht="19.5" customHeight="1" x14ac:dyDescent="0.25">
      <c r="A559" s="208">
        <f t="shared" si="11"/>
        <v>78.13333333333334</v>
      </c>
      <c r="B559" s="208">
        <f>YEAR(Data_NFI_t[[#This Row],[Distribution Date]])</f>
        <v>2012</v>
      </c>
      <c r="C559" s="719">
        <v>41090</v>
      </c>
      <c r="D559" s="395" t="s">
        <v>270</v>
      </c>
      <c r="E559" s="394"/>
      <c r="F559" s="395" t="s">
        <v>7</v>
      </c>
      <c r="G559" s="646" t="s">
        <v>17</v>
      </c>
      <c r="H559" s="646" t="s">
        <v>241</v>
      </c>
      <c r="I559" s="646"/>
      <c r="J559" s="646"/>
      <c r="K559" s="646"/>
      <c r="L559" s="42"/>
      <c r="M559" s="42"/>
      <c r="N559" s="42"/>
      <c r="O559" s="42">
        <v>20</v>
      </c>
      <c r="P559" s="42"/>
      <c r="Q559" s="42"/>
      <c r="R559" s="42"/>
      <c r="S559" s="42"/>
      <c r="T559" s="410"/>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55">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09">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09">
        <f>IF(NFI_Expiration=1,IF($A559&lt;VLOOKUP(X$5,NFI,5,0),1,0)*Data_NFI_t[[#This Row],[Solar Lantern]],0)</f>
        <v>0</v>
      </c>
      <c r="AT559" s="105" t="str">
        <f ca="1">IFERROR(OFFSET(Camp_List[P_Code],MATCH(Data_NFI_t[[#This Row],[Camp Name]],Camp_List[Camp Name],0)-1,0,1,1),"")</f>
        <v/>
      </c>
      <c r="AU559" s="412" t="str">
        <f ca="1">IFERROR(OFFSET(Camp_List[Status],MATCH(Data_NFI_t[[#This Row],[Camp Name]],Camp_List[Camp Name],0)-1,0,1,1),"")</f>
        <v/>
      </c>
      <c r="AV559" s="105"/>
    </row>
    <row r="560" spans="1:48" s="78" customFormat="1" ht="19.5" customHeight="1" x14ac:dyDescent="0.25">
      <c r="A560" s="208">
        <f t="shared" si="11"/>
        <v>78.13333333333334</v>
      </c>
      <c r="B560" s="208">
        <f>YEAR(Data_NFI_t[[#This Row],[Distribution Date]])</f>
        <v>2012</v>
      </c>
      <c r="C560" s="719">
        <v>41090</v>
      </c>
      <c r="D560" s="395" t="s">
        <v>270</v>
      </c>
      <c r="E560" s="394"/>
      <c r="F560" s="395" t="s">
        <v>7</v>
      </c>
      <c r="G560" s="646" t="s">
        <v>17</v>
      </c>
      <c r="H560" s="646" t="s">
        <v>239</v>
      </c>
      <c r="I560" s="646"/>
      <c r="J560" s="646"/>
      <c r="K560" s="646"/>
      <c r="L560" s="42"/>
      <c r="M560" s="42"/>
      <c r="N560" s="42"/>
      <c r="O560" s="42">
        <v>35</v>
      </c>
      <c r="P560" s="42"/>
      <c r="Q560" s="42"/>
      <c r="R560" s="42"/>
      <c r="S560" s="42"/>
      <c r="T560" s="410"/>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55">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09">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09">
        <f>IF(NFI_Expiration=1,IF($A560&lt;VLOOKUP(X$5,NFI,5,0),1,0)*Data_NFI_t[[#This Row],[Solar Lantern]],0)</f>
        <v>0</v>
      </c>
      <c r="AT560" s="105" t="str">
        <f ca="1">IFERROR(OFFSET(Camp_List[P_Code],MATCH(Data_NFI_t[[#This Row],[Camp Name]],Camp_List[Camp Name],0)-1,0,1,1),"")</f>
        <v/>
      </c>
      <c r="AU560" s="412" t="str">
        <f ca="1">IFERROR(OFFSET(Camp_List[Status],MATCH(Data_NFI_t[[#This Row],[Camp Name]],Camp_List[Camp Name],0)-1,0,1,1),"")</f>
        <v/>
      </c>
      <c r="AV560" s="105"/>
    </row>
    <row r="561" spans="1:48" s="78" customFormat="1" ht="19.5" customHeight="1" x14ac:dyDescent="0.25">
      <c r="A561" s="208">
        <f t="shared" si="11"/>
        <v>78.166666666666671</v>
      </c>
      <c r="B561" s="208">
        <f>YEAR(Data_NFI_t[[#This Row],[Distribution Date]])</f>
        <v>2012</v>
      </c>
      <c r="C561" s="719">
        <v>41089</v>
      </c>
      <c r="D561" s="395" t="s">
        <v>270</v>
      </c>
      <c r="E561" s="394"/>
      <c r="F561" s="395" t="s">
        <v>7</v>
      </c>
      <c r="G561" s="646" t="s">
        <v>17</v>
      </c>
      <c r="H561" s="646" t="s">
        <v>78</v>
      </c>
      <c r="I561" s="646"/>
      <c r="J561" s="646"/>
      <c r="K561" s="646"/>
      <c r="L561" s="42"/>
      <c r="M561" s="42"/>
      <c r="N561" s="42"/>
      <c r="O561" s="42">
        <v>66</v>
      </c>
      <c r="P561" s="42"/>
      <c r="Q561" s="42"/>
      <c r="R561" s="42"/>
      <c r="S561" s="42"/>
      <c r="T561" s="410"/>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55">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09">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09">
        <f>IF(NFI_Expiration=1,IF($A561&lt;VLOOKUP(X$5,NFI,5,0),1,0)*Data_NFI_t[[#This Row],[Solar Lantern]],0)</f>
        <v>0</v>
      </c>
      <c r="AT561" s="105" t="str">
        <f ca="1">IFERROR(OFFSET(Camp_List[P_Code],MATCH(Data_NFI_t[[#This Row],[Camp Name]],Camp_List[Camp Name],0)-1,0,1,1),"")</f>
        <v>MMR012CMP059</v>
      </c>
      <c r="AU561" s="412" t="str">
        <f ca="1">IFERROR(OFFSET(Camp_List[Status],MATCH(Data_NFI_t[[#This Row],[Camp Name]],Camp_List[Camp Name],0)-1,0,1,1),"")</f>
        <v>Close</v>
      </c>
      <c r="AV561" s="105"/>
    </row>
    <row r="562" spans="1:48" s="78" customFormat="1" ht="19.5" customHeight="1" x14ac:dyDescent="0.25">
      <c r="A562" s="208">
        <f t="shared" si="11"/>
        <v>78.166666666666671</v>
      </c>
      <c r="B562" s="208">
        <f>YEAR(Data_NFI_t[[#This Row],[Distribution Date]])</f>
        <v>2012</v>
      </c>
      <c r="C562" s="719">
        <v>41089</v>
      </c>
      <c r="D562" s="395" t="s">
        <v>270</v>
      </c>
      <c r="E562" s="394"/>
      <c r="F562" s="395" t="s">
        <v>7</v>
      </c>
      <c r="G562" s="646" t="s">
        <v>17</v>
      </c>
      <c r="H562" s="646" t="s">
        <v>238</v>
      </c>
      <c r="I562" s="646"/>
      <c r="J562" s="646"/>
      <c r="K562" s="646"/>
      <c r="L562" s="42"/>
      <c r="M562" s="42"/>
      <c r="N562" s="42"/>
      <c r="O562" s="42">
        <v>37</v>
      </c>
      <c r="P562" s="42"/>
      <c r="Q562" s="42"/>
      <c r="R562" s="42"/>
      <c r="S562" s="42"/>
      <c r="T562" s="410"/>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55">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09">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09">
        <f>IF(NFI_Expiration=1,IF($A562&lt;VLOOKUP(X$5,NFI,5,0),1,0)*Data_NFI_t[[#This Row],[Solar Lantern]],0)</f>
        <v>0</v>
      </c>
      <c r="AT562" s="105" t="str">
        <f ca="1">IFERROR(OFFSET(Camp_List[P_Code],MATCH(Data_NFI_t[[#This Row],[Camp Name]],Camp_List[Camp Name],0)-1,0,1,1),"")</f>
        <v/>
      </c>
      <c r="AU562" s="412" t="str">
        <f ca="1">IFERROR(OFFSET(Camp_List[Status],MATCH(Data_NFI_t[[#This Row],[Camp Name]],Camp_List[Camp Name],0)-1,0,1,1),"")</f>
        <v/>
      </c>
      <c r="AV562" s="105"/>
    </row>
    <row r="563" spans="1:48" s="78" customFormat="1" ht="19.5" customHeight="1" x14ac:dyDescent="0.25">
      <c r="A563" s="208">
        <f t="shared" si="11"/>
        <v>78.166666666666671</v>
      </c>
      <c r="B563" s="208">
        <f>YEAR(Data_NFI_t[[#This Row],[Distribution Date]])</f>
        <v>2012</v>
      </c>
      <c r="C563" s="719">
        <v>41089</v>
      </c>
      <c r="D563" s="395" t="s">
        <v>270</v>
      </c>
      <c r="E563" s="394"/>
      <c r="F563" s="395" t="s">
        <v>7</v>
      </c>
      <c r="G563" s="646" t="s">
        <v>17</v>
      </c>
      <c r="H563" s="646" t="s">
        <v>82</v>
      </c>
      <c r="I563" s="646"/>
      <c r="J563" s="646"/>
      <c r="K563" s="646"/>
      <c r="L563" s="42"/>
      <c r="M563" s="42"/>
      <c r="N563" s="42"/>
      <c r="O563" s="42">
        <v>66</v>
      </c>
      <c r="P563" s="42"/>
      <c r="Q563" s="42"/>
      <c r="R563" s="42"/>
      <c r="S563" s="42"/>
      <c r="T563" s="410"/>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55">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09">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09">
        <f>IF(NFI_Expiration=1,IF($A563&lt;VLOOKUP(X$5,NFI,5,0),1,0)*Data_NFI_t[[#This Row],[Solar Lantern]],0)</f>
        <v>0</v>
      </c>
      <c r="AT563" s="105" t="str">
        <f ca="1">IFERROR(OFFSET(Camp_List[P_Code],MATCH(Data_NFI_t[[#This Row],[Camp Name]],Camp_List[Camp Name],0)-1,0,1,1),"")</f>
        <v>MMR012CMP063</v>
      </c>
      <c r="AU563" s="412" t="str">
        <f ca="1">IFERROR(OFFSET(Camp_List[Status],MATCH(Data_NFI_t[[#This Row],[Camp Name]],Camp_List[Camp Name],0)-1,0,1,1),"")</f>
        <v>Close</v>
      </c>
      <c r="AV563" s="105"/>
    </row>
    <row r="564" spans="1:48" s="78" customFormat="1" ht="19.5" customHeight="1" x14ac:dyDescent="0.25">
      <c r="A564" s="208">
        <f t="shared" si="11"/>
        <v>78.166666666666671</v>
      </c>
      <c r="B564" s="208">
        <f>YEAR(Data_NFI_t[[#This Row],[Distribution Date]])</f>
        <v>2012</v>
      </c>
      <c r="C564" s="719">
        <v>41089</v>
      </c>
      <c r="D564" s="395" t="s">
        <v>270</v>
      </c>
      <c r="E564" s="394"/>
      <c r="F564" s="395" t="s">
        <v>7</v>
      </c>
      <c r="G564" s="646" t="s">
        <v>17</v>
      </c>
      <c r="H564" s="646" t="s">
        <v>87</v>
      </c>
      <c r="I564" s="646"/>
      <c r="J564" s="646"/>
      <c r="K564" s="646"/>
      <c r="L564" s="42"/>
      <c r="M564" s="42"/>
      <c r="N564" s="42"/>
      <c r="O564" s="42">
        <v>62</v>
      </c>
      <c r="P564" s="42"/>
      <c r="Q564" s="42"/>
      <c r="R564" s="42"/>
      <c r="S564" s="42"/>
      <c r="T564" s="410"/>
      <c r="U564" s="42"/>
      <c r="V564" s="42"/>
      <c r="W564" s="42"/>
      <c r="X564" s="42"/>
      <c r="Y564" s="42"/>
      <c r="Z564" s="42"/>
      <c r="AA564" s="42"/>
      <c r="AB564" s="42"/>
      <c r="AC564" s="42"/>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55">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09">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09">
        <f>IF(NFI_Expiration=1,IF($A564&lt;VLOOKUP(X$5,NFI,5,0),1,0)*Data_NFI_t[[#This Row],[Solar Lantern]],0)</f>
        <v>0</v>
      </c>
      <c r="AT564" s="105" t="str">
        <f ca="1">IFERROR(OFFSET(Camp_List[P_Code],MATCH(Data_NFI_t[[#This Row],[Camp Name]],Camp_List[Camp Name],0)-1,0,1,1),"")</f>
        <v>MMR012CMP068</v>
      </c>
      <c r="AU564" s="412" t="str">
        <f ca="1">IFERROR(OFFSET(Camp_List[Status],MATCH(Data_NFI_t[[#This Row],[Camp Name]],Camp_List[Camp Name],0)-1,0,1,1),"")</f>
        <v>Close</v>
      </c>
      <c r="AV564" s="105"/>
    </row>
    <row r="565" spans="1:48" s="78" customFormat="1" ht="19.5" customHeight="1" x14ac:dyDescent="0.25">
      <c r="A565" s="208">
        <f t="shared" si="11"/>
        <v>78.166666666666671</v>
      </c>
      <c r="B565" s="208">
        <f>YEAR(Data_NFI_t[[#This Row],[Distribution Date]])</f>
        <v>2012</v>
      </c>
      <c r="C565" s="719">
        <v>41089</v>
      </c>
      <c r="D565" s="395" t="s">
        <v>270</v>
      </c>
      <c r="E565" s="394"/>
      <c r="F565" s="395" t="s">
        <v>7</v>
      </c>
      <c r="G565" s="646" t="s">
        <v>17</v>
      </c>
      <c r="H565" s="646" t="s">
        <v>68</v>
      </c>
      <c r="I565" s="646"/>
      <c r="J565" s="646"/>
      <c r="K565" s="646"/>
      <c r="L565" s="42"/>
      <c r="M565" s="42"/>
      <c r="N565" s="42"/>
      <c r="O565" s="42">
        <v>200</v>
      </c>
      <c r="P565" s="42"/>
      <c r="Q565" s="42"/>
      <c r="R565" s="42"/>
      <c r="S565" s="42"/>
      <c r="T565" s="410"/>
      <c r="U565" s="42"/>
      <c r="V565" s="42"/>
      <c r="W565" s="42"/>
      <c r="X565" s="42"/>
      <c r="Y565" s="42"/>
      <c r="Z565" s="42"/>
      <c r="AA565" s="42"/>
      <c r="AB565" s="42"/>
      <c r="AC565" s="42"/>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55">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09">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09">
        <f>IF(NFI_Expiration=1,IF($A565&lt;VLOOKUP(X$5,NFI,5,0),1,0)*Data_NFI_t[[#This Row],[Solar Lantern]],0)</f>
        <v>0</v>
      </c>
      <c r="AT565" s="105" t="str">
        <f ca="1">IFERROR(OFFSET(Camp_List[P_Code],MATCH(Data_NFI_t[[#This Row],[Camp Name]],Camp_List[Camp Name],0)-1,0,1,1),"")</f>
        <v>MMR012CMP048</v>
      </c>
      <c r="AU565" s="412" t="str">
        <f ca="1">IFERROR(OFFSET(Camp_List[Status],MATCH(Data_NFI_t[[#This Row],[Camp Name]],Camp_List[Camp Name],0)-1,0,1,1),"")</f>
        <v>Open</v>
      </c>
      <c r="AV565" s="105"/>
    </row>
    <row r="566" spans="1:48" s="78" customFormat="1" ht="19.5" customHeight="1" x14ac:dyDescent="0.25">
      <c r="A566" s="208">
        <f t="shared" si="11"/>
        <v>78.2</v>
      </c>
      <c r="B566" s="208">
        <f>YEAR(Data_NFI_t[[#This Row],[Distribution Date]])</f>
        <v>2012</v>
      </c>
      <c r="C566" s="719">
        <v>41088</v>
      </c>
      <c r="D566" s="395" t="s">
        <v>270</v>
      </c>
      <c r="E566" s="394"/>
      <c r="F566" s="395" t="s">
        <v>7</v>
      </c>
      <c r="G566" s="646" t="s">
        <v>17</v>
      </c>
      <c r="H566" s="646" t="s">
        <v>275</v>
      </c>
      <c r="I566" s="646"/>
      <c r="J566" s="646"/>
      <c r="K566" s="646"/>
      <c r="L566" s="42"/>
      <c r="M566" s="42"/>
      <c r="N566" s="42"/>
      <c r="O566" s="42">
        <v>52</v>
      </c>
      <c r="P566" s="42"/>
      <c r="Q566" s="42"/>
      <c r="R566" s="42"/>
      <c r="S566" s="42"/>
      <c r="T566" s="410"/>
      <c r="U566" s="42"/>
      <c r="V566" s="42"/>
      <c r="W566" s="42"/>
      <c r="X566" s="42"/>
      <c r="Y566" s="42"/>
      <c r="Z566" s="42"/>
      <c r="AA566" s="42"/>
      <c r="AB566" s="42"/>
      <c r="AC566" s="42"/>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55">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09">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09">
        <f>IF(NFI_Expiration=1,IF($A566&lt;VLOOKUP(X$5,NFI,5,0),1,0)*Data_NFI_t[[#This Row],[Solar Lantern]],0)</f>
        <v>0</v>
      </c>
      <c r="AT566" s="105" t="str">
        <f ca="1">IFERROR(OFFSET(Camp_List[P_Code],MATCH(Data_NFI_t[[#This Row],[Camp Name]],Camp_List[Camp Name],0)-1,0,1,1),"")</f>
        <v/>
      </c>
      <c r="AU566" s="412" t="str">
        <f ca="1">IFERROR(OFFSET(Camp_List[Status],MATCH(Data_NFI_t[[#This Row],[Camp Name]],Camp_List[Camp Name],0)-1,0,1,1),"")</f>
        <v/>
      </c>
      <c r="AV566" s="105"/>
    </row>
    <row r="567" spans="1:48" s="78" customFormat="1" ht="19.5" customHeight="1" x14ac:dyDescent="0.25">
      <c r="A567" s="208">
        <f t="shared" si="11"/>
        <v>78.2</v>
      </c>
      <c r="B567" s="208">
        <f>YEAR(Data_NFI_t[[#This Row],[Distribution Date]])</f>
        <v>2012</v>
      </c>
      <c r="C567" s="719">
        <v>41088</v>
      </c>
      <c r="D567" s="395" t="s">
        <v>270</v>
      </c>
      <c r="E567" s="394"/>
      <c r="F567" s="395" t="s">
        <v>7</v>
      </c>
      <c r="G567" s="646" t="s">
        <v>17</v>
      </c>
      <c r="H567" s="646" t="s">
        <v>61</v>
      </c>
      <c r="I567" s="646"/>
      <c r="J567" s="646"/>
      <c r="K567" s="646"/>
      <c r="L567" s="42"/>
      <c r="M567" s="42"/>
      <c r="N567" s="42"/>
      <c r="O567" s="42">
        <v>300</v>
      </c>
      <c r="P567" s="42"/>
      <c r="Q567" s="42"/>
      <c r="R567" s="42"/>
      <c r="S567" s="42"/>
      <c r="T567" s="410"/>
      <c r="U567" s="42"/>
      <c r="V567" s="42"/>
      <c r="W567" s="42"/>
      <c r="X567" s="42"/>
      <c r="Y567" s="42"/>
      <c r="Z567" s="42"/>
      <c r="AA567" s="42"/>
      <c r="AB567" s="42"/>
      <c r="AC567" s="42"/>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55">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09">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09">
        <f>IF(NFI_Expiration=1,IF($A567&lt;VLOOKUP(X$5,NFI,5,0),1,0)*Data_NFI_t[[#This Row],[Solar Lantern]],0)</f>
        <v>0</v>
      </c>
      <c r="AT567" s="105" t="str">
        <f ca="1">IFERROR(OFFSET(Camp_List[P_Code],MATCH(Data_NFI_t[[#This Row],[Camp Name]],Camp_List[Camp Name],0)-1,0,1,1),"")</f>
        <v>MMR012CMP041</v>
      </c>
      <c r="AU567" s="412" t="str">
        <f ca="1">IFERROR(OFFSET(Camp_List[Status],MATCH(Data_NFI_t[[#This Row],[Camp Name]],Camp_List[Camp Name],0)-1,0,1,1),"")</f>
        <v>Open</v>
      </c>
      <c r="AV567" s="105"/>
    </row>
    <row r="568" spans="1:48" s="78" customFormat="1" ht="19.5" customHeight="1" x14ac:dyDescent="0.25">
      <c r="A568" s="208">
        <f t="shared" si="11"/>
        <v>78.2</v>
      </c>
      <c r="B568" s="208">
        <f>YEAR(Data_NFI_t[[#This Row],[Distribution Date]])</f>
        <v>2012</v>
      </c>
      <c r="C568" s="719">
        <v>41088</v>
      </c>
      <c r="D568" s="395" t="s">
        <v>270</v>
      </c>
      <c r="E568" s="394"/>
      <c r="F568" s="395" t="s">
        <v>7</v>
      </c>
      <c r="G568" s="646" t="s">
        <v>17</v>
      </c>
      <c r="H568" s="646" t="s">
        <v>237</v>
      </c>
      <c r="I568" s="646"/>
      <c r="J568" s="646"/>
      <c r="K568" s="646"/>
      <c r="L568" s="42"/>
      <c r="M568" s="42"/>
      <c r="N568" s="42"/>
      <c r="O568" s="42">
        <v>9</v>
      </c>
      <c r="P568" s="42"/>
      <c r="Q568" s="42"/>
      <c r="R568" s="42"/>
      <c r="S568" s="42"/>
      <c r="T568" s="410"/>
      <c r="U568" s="42"/>
      <c r="V568" s="42"/>
      <c r="W568" s="42"/>
      <c r="X568" s="42"/>
      <c r="Y568" s="42"/>
      <c r="Z568" s="42"/>
      <c r="AA568" s="42"/>
      <c r="AB568" s="42"/>
      <c r="AC568" s="42"/>
      <c r="AD568" s="105">
        <f>IF(NFI_Expiration=1,IF($A568&lt;VLOOKUP(I$5,NFI,5,0),1,0)*Data_NFI_t[[#This Row],[Hygiene Kit]],0)</f>
        <v>0</v>
      </c>
      <c r="AE568" s="105">
        <f>IF(NFI_Expiration=1,IF($A568&lt;VLOOKUP(L$5,NFI,5,0),1,0)*Data_NFI_t[[#This Row],[NFI Core Kit]],0)</f>
        <v>0</v>
      </c>
      <c r="AF568" s="86">
        <f>IF(NFI_Expiration=1,IF($A568&lt;VLOOKUP(M$5,NFI,5,0),1,0)*Data_NFI_t[[#This Row],[Sanitary Kit]],0)</f>
        <v>0</v>
      </c>
      <c r="AG568" s="1055">
        <f>IF(NFI_Expiration=1,IF($A568&lt;VLOOKUP(AC$5,NFI,5,0),1,0)*Data_NFI_t[[#This Row],[Rope]],0)</f>
        <v>0</v>
      </c>
      <c r="AH568" s="86">
        <f>IF(NFI_Expiration=1,IF($A568&lt;VLOOKUP(N$5,NFI,5,0),1,0)*Data_NFI_t[[#This Row],[Mosquito net]],0)</f>
        <v>0</v>
      </c>
      <c r="AI568" s="86">
        <f>IF(NFI_Expiration=1,IF($A568&lt;VLOOKUP(O$5,NFI,5,0),1,0)*Data_NFI_t[[#This Row],[Tarpaulin]],0)</f>
        <v>0</v>
      </c>
      <c r="AJ568" s="86">
        <f>IF(NFI_Expiration=1,IF($A568&lt;VLOOKUP(P$5,NFI,5,0),1,0)*Data_NFI_t[[#This Row],[Blanket]],0)</f>
        <v>0</v>
      </c>
      <c r="AK568" s="86">
        <f>IF(NFI_Expiration=1,IF($A568&lt;VLOOKUP(Q$5,NFI,5,0),1,0)*Data_NFI_t[[#This Row],[Kitchen Set]],0)</f>
        <v>0</v>
      </c>
      <c r="AL568" s="86">
        <f>IF(NFI_Expiration=1,IF($A568&lt;VLOOKUP(R$5,NFI,5,0),1,0)*Data_NFI_t[[#This Row],[Complementary Kit]],0)</f>
        <v>0</v>
      </c>
      <c r="AM568" s="86">
        <f>IF(NFI_Expiration=1,IF($A568&lt;VLOOKUP(S$5,NFI,5,0),1,0)*Data_NFI_t[[#This Row],[Plastic Bucket]],0)</f>
        <v>0</v>
      </c>
      <c r="AN568" s="86">
        <f>IF(NFI_Expiration=1,IF($A568&lt;VLOOKUP(T$5,NFI,5,0),1,0)*Data_NFI_t[[#This Row],[Jerry Can]],0)</f>
        <v>0</v>
      </c>
      <c r="AO568" s="105">
        <f>IF(NFI_Expiration=1,IF($A568&lt;VLOOKUP(U$5,NFI,5,0),1,0)*Data_NFI_t[[#This Row],[Plastic Mat]],0)*IF(Data_NFI_t[[#This Row],[Distribution Date]]&gt;"01-06-2015",1,2.5)</f>
        <v>0</v>
      </c>
      <c r="AP568" s="709">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09">
        <f>IF(NFI_Expiration=1,IF($A568&lt;VLOOKUP(X$5,NFI,5,0),1,0)*Data_NFI_t[[#This Row],[Solar Lantern]],0)</f>
        <v>0</v>
      </c>
      <c r="AT568" s="105" t="str">
        <f ca="1">IFERROR(OFFSET(Camp_List[P_Code],MATCH(Data_NFI_t[[#This Row],[Camp Name]],Camp_List[Camp Name],0)-1,0,1,1),"")</f>
        <v/>
      </c>
      <c r="AU568" s="412" t="str">
        <f ca="1">IFERROR(OFFSET(Camp_List[Status],MATCH(Data_NFI_t[[#This Row],[Camp Name]],Camp_List[Camp Name],0)-1,0,1,1),"")</f>
        <v/>
      </c>
      <c r="AV568" s="105"/>
    </row>
    <row r="569" spans="1:48" s="78" customFormat="1" ht="19.5" customHeight="1" x14ac:dyDescent="0.25">
      <c r="A569" s="208">
        <f t="shared" si="11"/>
        <v>78.2</v>
      </c>
      <c r="B569" s="208">
        <f>YEAR(Data_NFI_t[[#This Row],[Distribution Date]])</f>
        <v>2012</v>
      </c>
      <c r="C569" s="719">
        <v>41088</v>
      </c>
      <c r="D569" s="395" t="s">
        <v>270</v>
      </c>
      <c r="E569" s="394"/>
      <c r="F569" s="395" t="s">
        <v>7</v>
      </c>
      <c r="G569" s="646" t="s">
        <v>17</v>
      </c>
      <c r="H569" s="646" t="s">
        <v>236</v>
      </c>
      <c r="I569" s="646"/>
      <c r="J569" s="646"/>
      <c r="K569" s="646"/>
      <c r="L569" s="42"/>
      <c r="M569" s="42"/>
      <c r="N569" s="42"/>
      <c r="O569" s="42">
        <v>11</v>
      </c>
      <c r="P569" s="42"/>
      <c r="Q569" s="42"/>
      <c r="R569" s="42"/>
      <c r="S569" s="42"/>
      <c r="T569" s="410"/>
      <c r="U569" s="42"/>
      <c r="V569" s="42"/>
      <c r="W569" s="42"/>
      <c r="X569" s="42"/>
      <c r="Y569" s="42"/>
      <c r="Z569" s="42"/>
      <c r="AA569" s="42"/>
      <c r="AB569" s="42"/>
      <c r="AC569" s="42"/>
      <c r="AD569" s="105">
        <f>IF(NFI_Expiration=1,IF($A569&lt;VLOOKUP(I$5,NFI,5,0),1,0)*Data_NFI_t[[#This Row],[Hygiene Kit]],0)</f>
        <v>0</v>
      </c>
      <c r="AE569" s="105">
        <f>IF(NFI_Expiration=1,IF($A569&lt;VLOOKUP(L$5,NFI,5,0),1,0)*Data_NFI_t[[#This Row],[NFI Core Kit]],0)</f>
        <v>0</v>
      </c>
      <c r="AF569" s="86">
        <f>IF(NFI_Expiration=1,IF($A569&lt;VLOOKUP(M$5,NFI,5,0),1,0)*Data_NFI_t[[#This Row],[Sanitary Kit]],0)</f>
        <v>0</v>
      </c>
      <c r="AG569" s="1055">
        <f>IF(NFI_Expiration=1,IF($A569&lt;VLOOKUP(AC$5,NFI,5,0),1,0)*Data_NFI_t[[#This Row],[Rope]],0)</f>
        <v>0</v>
      </c>
      <c r="AH569" s="86">
        <f>IF(NFI_Expiration=1,IF($A569&lt;VLOOKUP(N$5,NFI,5,0),1,0)*Data_NFI_t[[#This Row],[Mosquito net]],0)</f>
        <v>0</v>
      </c>
      <c r="AI569" s="86">
        <f>IF(NFI_Expiration=1,IF($A569&lt;VLOOKUP(O$5,NFI,5,0),1,0)*Data_NFI_t[[#This Row],[Tarpaulin]],0)</f>
        <v>0</v>
      </c>
      <c r="AJ569" s="86">
        <f>IF(NFI_Expiration=1,IF($A569&lt;VLOOKUP(P$5,NFI,5,0),1,0)*Data_NFI_t[[#This Row],[Blanket]],0)</f>
        <v>0</v>
      </c>
      <c r="AK569" s="86">
        <f>IF(NFI_Expiration=1,IF($A569&lt;VLOOKUP(Q$5,NFI,5,0),1,0)*Data_NFI_t[[#This Row],[Kitchen Set]],0)</f>
        <v>0</v>
      </c>
      <c r="AL569" s="86">
        <f>IF(NFI_Expiration=1,IF($A569&lt;VLOOKUP(R$5,NFI,5,0),1,0)*Data_NFI_t[[#This Row],[Complementary Kit]],0)</f>
        <v>0</v>
      </c>
      <c r="AM569" s="86">
        <f>IF(NFI_Expiration=1,IF($A569&lt;VLOOKUP(S$5,NFI,5,0),1,0)*Data_NFI_t[[#This Row],[Plastic Bucket]],0)</f>
        <v>0</v>
      </c>
      <c r="AN569" s="86">
        <f>IF(NFI_Expiration=1,IF($A569&lt;VLOOKUP(T$5,NFI,5,0),1,0)*Data_NFI_t[[#This Row],[Jerry Can]],0)</f>
        <v>0</v>
      </c>
      <c r="AO569" s="105">
        <f>IF(NFI_Expiration=1,IF($A569&lt;VLOOKUP(U$5,NFI,5,0),1,0)*Data_NFI_t[[#This Row],[Plastic Mat]],0)*IF(Data_NFI_t[[#This Row],[Distribution Date]]&gt;"01-06-2015",1,2.5)</f>
        <v>0</v>
      </c>
      <c r="AP569" s="709">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709">
        <f>IF(NFI_Expiration=1,IF($A569&lt;VLOOKUP(X$5,NFI,5,0),1,0)*Data_NFI_t[[#This Row],[Solar Lantern]],0)</f>
        <v>0</v>
      </c>
      <c r="AT569" s="105" t="str">
        <f ca="1">IFERROR(OFFSET(Camp_List[P_Code],MATCH(Data_NFI_t[[#This Row],[Camp Name]],Camp_List[Camp Name],0)-1,0,1,1),"")</f>
        <v/>
      </c>
      <c r="AU569" s="412" t="str">
        <f ca="1">IFERROR(OFFSET(Camp_List[Status],MATCH(Data_NFI_t[[#This Row],[Camp Name]],Camp_List[Camp Name],0)-1,0,1,1),"")</f>
        <v/>
      </c>
      <c r="AV569" s="105"/>
    </row>
    <row r="570" spans="1:48" ht="19.5" customHeight="1" x14ac:dyDescent="0.25">
      <c r="A570" s="208">
        <f t="shared" si="11"/>
        <v>78.2</v>
      </c>
      <c r="B570" s="419">
        <f>YEAR(Data_NFI_t[[#This Row],[Distribution Date]])</f>
        <v>2012</v>
      </c>
      <c r="C570" s="719">
        <v>41088</v>
      </c>
      <c r="D570" s="395" t="s">
        <v>270</v>
      </c>
      <c r="E570" s="394"/>
      <c r="F570" s="395" t="s">
        <v>7</v>
      </c>
      <c r="G570" s="646" t="s">
        <v>17</v>
      </c>
      <c r="H570" s="646" t="s">
        <v>235</v>
      </c>
      <c r="I570" s="646"/>
      <c r="J570" s="646"/>
      <c r="K570" s="646"/>
      <c r="L570" s="42"/>
      <c r="M570" s="42"/>
      <c r="N570" s="93"/>
      <c r="O570" s="93">
        <v>89</v>
      </c>
      <c r="P570" s="93"/>
      <c r="Q570" s="93"/>
      <c r="R570" s="93"/>
      <c r="S570" s="93"/>
      <c r="T570" s="411"/>
      <c r="U570" s="93"/>
      <c r="V570" s="93"/>
      <c r="W570" s="93"/>
      <c r="X570" s="93"/>
      <c r="Y570" s="93"/>
      <c r="Z570" s="93"/>
      <c r="AA570" s="93"/>
      <c r="AB570" s="93"/>
      <c r="AC570" s="93"/>
      <c r="AD570" s="105">
        <f>IF(NFI_Expiration=1,IF($A570&lt;VLOOKUP(I$5,NFI,5,0),1,0)*Data_NFI_t[[#This Row],[Hygiene Kit]],0)</f>
        <v>0</v>
      </c>
      <c r="AE570" s="105">
        <f>IF(NFI_Expiration=1,IF($A570&lt;VLOOKUP(L$5,NFI,5,0),1,0)*Data_NFI_t[[#This Row],[NFI Core Kit]],0)</f>
        <v>0</v>
      </c>
      <c r="AF570" s="86">
        <f>IF(NFI_Expiration=1,IF($A570&lt;VLOOKUP(M$5,NFI,5,0),1,0)*Data_NFI_t[[#This Row],[Sanitary Kit]],0)</f>
        <v>0</v>
      </c>
      <c r="AG570" s="1055">
        <f>IF(NFI_Expiration=1,IF($A570&lt;VLOOKUP(AC$5,NFI,5,0),1,0)*Data_NFI_t[[#This Row],[Rope]],0)</f>
        <v>0</v>
      </c>
      <c r="AH570" s="86">
        <f>IF(NFI_Expiration=1,IF($A570&lt;VLOOKUP(N$5,NFI,5,0),1,0)*Data_NFI_t[[#This Row],[Mosquito net]],0)</f>
        <v>0</v>
      </c>
      <c r="AI570" s="86">
        <f>IF(NFI_Expiration=1,IF($A570&lt;VLOOKUP(O$5,NFI,5,0),1,0)*Data_NFI_t[[#This Row],[Tarpaulin]],0)</f>
        <v>0</v>
      </c>
      <c r="AJ570" s="86">
        <f>IF(NFI_Expiration=1,IF($A570&lt;VLOOKUP(P$5,NFI,5,0),1,0)*Data_NFI_t[[#This Row],[Blanket]],0)</f>
        <v>0</v>
      </c>
      <c r="AK570" s="86">
        <f>IF(NFI_Expiration=1,IF($A570&lt;VLOOKUP(Q$5,NFI,5,0),1,0)*Data_NFI_t[[#This Row],[Kitchen Set]],0)</f>
        <v>0</v>
      </c>
      <c r="AL570" s="86">
        <f>IF(NFI_Expiration=1,IF($A570&lt;VLOOKUP(R$5,NFI,5,0),1,0)*Data_NFI_t[[#This Row],[Complementary Kit]],0)</f>
        <v>0</v>
      </c>
      <c r="AM570" s="86">
        <f>IF(NFI_Expiration=1,IF($A570&lt;VLOOKUP(S$5,NFI,5,0),1,0)*Data_NFI_t[[#This Row],[Plastic Bucket]],0)</f>
        <v>0</v>
      </c>
      <c r="AN570" s="86">
        <f>IF(NFI_Expiration=1,IF($A570&lt;VLOOKUP(T$5,NFI,5,0),1,0)*Data_NFI_t[[#This Row],[Jerry Can]],0)</f>
        <v>0</v>
      </c>
      <c r="AO570" s="105">
        <f>IF(NFI_Expiration=1,IF($A570&lt;VLOOKUP(U$5,NFI,5,0),1,0)*Data_NFI_t[[#This Row],[Plastic Mat]],0)*IF(Data_NFI_t[[#This Row],[Distribution Date]]&gt;"01-06-2015",1,2.5)</f>
        <v>0</v>
      </c>
      <c r="AP570" s="709">
        <f>IF(NFI_Expiration=1,IF($A570&lt;VLOOKUP(V$5,NFI,5,0),1,0)*Data_NFI_t[[#This Row],[Adult Clothes]],0)</f>
        <v>0</v>
      </c>
      <c r="AQ570" s="105">
        <f>IF(NFI_Expiration=1,IF($A570&lt;VLOOKUP(W$5,NFI,5,0),1,0)*Data_NFI_t[[#This Row],[Children Clothes]],0)</f>
        <v>0</v>
      </c>
      <c r="AR570" s="105">
        <f>IF(NFI_Expiration=1,IF($A570&lt;VLOOKUP(X$5,NFI,5,0),1,0)*Data_NFI_t[[#This Row],[Sewing Kit]],0)</f>
        <v>0</v>
      </c>
      <c r="AS570" s="709">
        <f>IF(NFI_Expiration=1,IF($A570&lt;VLOOKUP(X$5,NFI,5,0),1,0)*Data_NFI_t[[#This Row],[Solar Lantern]],0)</f>
        <v>0</v>
      </c>
      <c r="AT570" s="105" t="str">
        <f ca="1">IFERROR(OFFSET(Camp_List[P_Code],MATCH(Data_NFI_t[[#This Row],[Camp Name]],Camp_List[Camp Name],0)-1,0,1,1),"")</f>
        <v/>
      </c>
      <c r="AU570" s="412" t="str">
        <f ca="1">IFERROR(OFFSET(Camp_List[Status],MATCH(Data_NFI_t[[#This Row],[Camp Name]],Camp_List[Camp Name],0)-1,0,1,1),"")</f>
        <v/>
      </c>
      <c r="AV570" s="105"/>
    </row>
    <row r="571" spans="1:48" ht="19.5" customHeight="1" x14ac:dyDescent="0.25">
      <c r="A571" s="208">
        <f t="shared" si="11"/>
        <v>78.233333333333334</v>
      </c>
      <c r="B571" s="419">
        <f>YEAR(Data_NFI_t[[#This Row],[Distribution Date]])</f>
        <v>2012</v>
      </c>
      <c r="C571" s="719">
        <v>41087</v>
      </c>
      <c r="D571" s="395" t="s">
        <v>270</v>
      </c>
      <c r="E571" s="394"/>
      <c r="F571" s="395" t="s">
        <v>7</v>
      </c>
      <c r="G571" s="646" t="s">
        <v>17</v>
      </c>
      <c r="H571" s="646" t="s">
        <v>91</v>
      </c>
      <c r="I571" s="646"/>
      <c r="J571" s="646"/>
      <c r="K571" s="646"/>
      <c r="L571" s="42"/>
      <c r="M571" s="42"/>
      <c r="N571" s="93"/>
      <c r="O571" s="93">
        <v>120</v>
      </c>
      <c r="P571" s="93"/>
      <c r="Q571" s="93"/>
      <c r="R571" s="93"/>
      <c r="S571" s="93"/>
      <c r="T571" s="411"/>
      <c r="U571" s="93"/>
      <c r="V571" s="93"/>
      <c r="W571" s="93"/>
      <c r="X571" s="93"/>
      <c r="Y571" s="93"/>
      <c r="Z571" s="93"/>
      <c r="AA571" s="93"/>
      <c r="AB571" s="93"/>
      <c r="AC571" s="93"/>
      <c r="AD571" s="105">
        <f>IF(NFI_Expiration=1,IF($A571&lt;VLOOKUP(I$5,NFI,5,0),1,0)*Data_NFI_t[[#This Row],[Hygiene Kit]],0)</f>
        <v>0</v>
      </c>
      <c r="AE571" s="105">
        <f>IF(NFI_Expiration=1,IF($A571&lt;VLOOKUP(L$5,NFI,5,0),1,0)*Data_NFI_t[[#This Row],[NFI Core Kit]],0)</f>
        <v>0</v>
      </c>
      <c r="AF571" s="86">
        <f>IF(NFI_Expiration=1,IF($A571&lt;VLOOKUP(M$5,NFI,5,0),1,0)*Data_NFI_t[[#This Row],[Sanitary Kit]],0)</f>
        <v>0</v>
      </c>
      <c r="AG571" s="1055">
        <f>IF(NFI_Expiration=1,IF($A571&lt;VLOOKUP(AC$5,NFI,5,0),1,0)*Data_NFI_t[[#This Row],[Rope]],0)</f>
        <v>0</v>
      </c>
      <c r="AH571" s="86">
        <f>IF(NFI_Expiration=1,IF($A571&lt;VLOOKUP(N$5,NFI,5,0),1,0)*Data_NFI_t[[#This Row],[Mosquito net]],0)</f>
        <v>0</v>
      </c>
      <c r="AI571" s="86">
        <f>IF(NFI_Expiration=1,IF($A571&lt;VLOOKUP(O$5,NFI,5,0),1,0)*Data_NFI_t[[#This Row],[Tarpaulin]],0)</f>
        <v>0</v>
      </c>
      <c r="AJ571" s="86">
        <f>IF(NFI_Expiration=1,IF($A571&lt;VLOOKUP(P$5,NFI,5,0),1,0)*Data_NFI_t[[#This Row],[Blanket]],0)</f>
        <v>0</v>
      </c>
      <c r="AK571" s="86">
        <f>IF(NFI_Expiration=1,IF($A571&lt;VLOOKUP(Q$5,NFI,5,0),1,0)*Data_NFI_t[[#This Row],[Kitchen Set]],0)</f>
        <v>0</v>
      </c>
      <c r="AL571" s="86">
        <f>IF(NFI_Expiration=1,IF($A571&lt;VLOOKUP(R$5,NFI,5,0),1,0)*Data_NFI_t[[#This Row],[Complementary Kit]],0)</f>
        <v>0</v>
      </c>
      <c r="AM571" s="86">
        <f>IF(NFI_Expiration=1,IF($A571&lt;VLOOKUP(S$5,NFI,5,0),1,0)*Data_NFI_t[[#This Row],[Plastic Bucket]],0)</f>
        <v>0</v>
      </c>
      <c r="AN571" s="86">
        <f>IF(NFI_Expiration=1,IF($A571&lt;VLOOKUP(T$5,NFI,5,0),1,0)*Data_NFI_t[[#This Row],[Jerry Can]],0)</f>
        <v>0</v>
      </c>
      <c r="AO571" s="105">
        <f>IF(NFI_Expiration=1,IF($A571&lt;VLOOKUP(U$5,NFI,5,0),1,0)*Data_NFI_t[[#This Row],[Plastic Mat]],0)*IF(Data_NFI_t[[#This Row],[Distribution Date]]&gt;"01-06-2015",1,2.5)</f>
        <v>0</v>
      </c>
      <c r="AP571" s="709">
        <f>IF(NFI_Expiration=1,IF($A571&lt;VLOOKUP(V$5,NFI,5,0),1,0)*Data_NFI_t[[#This Row],[Adult Clothes]],0)</f>
        <v>0</v>
      </c>
      <c r="AQ571" s="105">
        <f>IF(NFI_Expiration=1,IF($A571&lt;VLOOKUP(W$5,NFI,5,0),1,0)*Data_NFI_t[[#This Row],[Children Clothes]],0)</f>
        <v>0</v>
      </c>
      <c r="AR571" s="105">
        <f>IF(NFI_Expiration=1,IF($A571&lt;VLOOKUP(X$5,NFI,5,0),1,0)*Data_NFI_t[[#This Row],[Sewing Kit]],0)</f>
        <v>0</v>
      </c>
      <c r="AS571" s="709">
        <f>IF(NFI_Expiration=1,IF($A571&lt;VLOOKUP(X$5,NFI,5,0),1,0)*Data_NFI_t[[#This Row],[Solar Lantern]],0)</f>
        <v>0</v>
      </c>
      <c r="AT571" s="105" t="str">
        <f ca="1">IFERROR(OFFSET(Camp_List[P_Code],MATCH(Data_NFI_t[[#This Row],[Camp Name]],Camp_List[Camp Name],0)-1,0,1,1),"")</f>
        <v>MMR012CMP072</v>
      </c>
      <c r="AU571" s="412" t="str">
        <f ca="1">IFERROR(OFFSET(Camp_List[Status],MATCH(Data_NFI_t[[#This Row],[Camp Name]],Camp_List[Camp Name],0)-1,0,1,1),"")</f>
        <v>Close</v>
      </c>
      <c r="AV571" s="105"/>
    </row>
    <row r="572" spans="1:48" ht="19.5" customHeight="1" x14ac:dyDescent="0.25">
      <c r="A572" s="208">
        <f t="shared" si="11"/>
        <v>78.233333333333334</v>
      </c>
      <c r="B572" s="419">
        <f>YEAR(Data_NFI_t[[#This Row],[Distribution Date]])</f>
        <v>2012</v>
      </c>
      <c r="C572" s="719">
        <v>41087</v>
      </c>
      <c r="D572" s="395" t="s">
        <v>270</v>
      </c>
      <c r="E572" s="394"/>
      <c r="F572" s="395" t="s">
        <v>7</v>
      </c>
      <c r="G572" s="646" t="s">
        <v>17</v>
      </c>
      <c r="H572" s="646" t="s">
        <v>233</v>
      </c>
      <c r="I572" s="646"/>
      <c r="J572" s="646"/>
      <c r="K572" s="646"/>
      <c r="L572" s="42"/>
      <c r="M572" s="42"/>
      <c r="N572" s="93"/>
      <c r="O572" s="93">
        <v>11</v>
      </c>
      <c r="P572" s="93"/>
      <c r="Q572" s="93"/>
      <c r="R572" s="93"/>
      <c r="S572" s="93"/>
      <c r="T572" s="411"/>
      <c r="U572" s="93"/>
      <c r="V572" s="93"/>
      <c r="W572" s="93"/>
      <c r="X572" s="93"/>
      <c r="Y572" s="93"/>
      <c r="Z572" s="93"/>
      <c r="AA572" s="93"/>
      <c r="AB572" s="93"/>
      <c r="AC572" s="93"/>
      <c r="AD572" s="105">
        <f>IF(NFI_Expiration=1,IF($A572&lt;VLOOKUP(I$5,NFI,5,0),1,0)*Data_NFI_t[[#This Row],[Hygiene Kit]],0)</f>
        <v>0</v>
      </c>
      <c r="AE572" s="105">
        <f>IF(NFI_Expiration=1,IF($A572&lt;VLOOKUP(L$5,NFI,5,0),1,0)*Data_NFI_t[[#This Row],[NFI Core Kit]],0)</f>
        <v>0</v>
      </c>
      <c r="AF572" s="86">
        <f>IF(NFI_Expiration=1,IF($A572&lt;VLOOKUP(M$5,NFI,5,0),1,0)*Data_NFI_t[[#This Row],[Sanitary Kit]],0)</f>
        <v>0</v>
      </c>
      <c r="AG572" s="1055">
        <f>IF(NFI_Expiration=1,IF($A572&lt;VLOOKUP(AC$5,NFI,5,0),1,0)*Data_NFI_t[[#This Row],[Rope]],0)</f>
        <v>0</v>
      </c>
      <c r="AH572" s="86">
        <f>IF(NFI_Expiration=1,IF($A572&lt;VLOOKUP(N$5,NFI,5,0),1,0)*Data_NFI_t[[#This Row],[Mosquito net]],0)</f>
        <v>0</v>
      </c>
      <c r="AI572" s="86">
        <f>IF(NFI_Expiration=1,IF($A572&lt;VLOOKUP(O$5,NFI,5,0),1,0)*Data_NFI_t[[#This Row],[Tarpaulin]],0)</f>
        <v>0</v>
      </c>
      <c r="AJ572" s="86">
        <f>IF(NFI_Expiration=1,IF($A572&lt;VLOOKUP(P$5,NFI,5,0),1,0)*Data_NFI_t[[#This Row],[Blanket]],0)</f>
        <v>0</v>
      </c>
      <c r="AK572" s="86">
        <f>IF(NFI_Expiration=1,IF($A572&lt;VLOOKUP(Q$5,NFI,5,0),1,0)*Data_NFI_t[[#This Row],[Kitchen Set]],0)</f>
        <v>0</v>
      </c>
      <c r="AL572" s="86">
        <f>IF(NFI_Expiration=1,IF($A572&lt;VLOOKUP(R$5,NFI,5,0),1,0)*Data_NFI_t[[#This Row],[Complementary Kit]],0)</f>
        <v>0</v>
      </c>
      <c r="AM572" s="86">
        <f>IF(NFI_Expiration=1,IF($A572&lt;VLOOKUP(S$5,NFI,5,0),1,0)*Data_NFI_t[[#This Row],[Plastic Bucket]],0)</f>
        <v>0</v>
      </c>
      <c r="AN572" s="86">
        <f>IF(NFI_Expiration=1,IF($A572&lt;VLOOKUP(T$5,NFI,5,0),1,0)*Data_NFI_t[[#This Row],[Jerry Can]],0)</f>
        <v>0</v>
      </c>
      <c r="AO572" s="105">
        <f>IF(NFI_Expiration=1,IF($A572&lt;VLOOKUP(U$5,NFI,5,0),1,0)*Data_NFI_t[[#This Row],[Plastic Mat]],0)*IF(Data_NFI_t[[#This Row],[Distribution Date]]&gt;"01-06-2015",1,2.5)</f>
        <v>0</v>
      </c>
      <c r="AP572" s="709">
        <f>IF(NFI_Expiration=1,IF($A572&lt;VLOOKUP(V$5,NFI,5,0),1,0)*Data_NFI_t[[#This Row],[Adult Clothes]],0)</f>
        <v>0</v>
      </c>
      <c r="AQ572" s="105">
        <f>IF(NFI_Expiration=1,IF($A572&lt;VLOOKUP(W$5,NFI,5,0),1,0)*Data_NFI_t[[#This Row],[Children Clothes]],0)</f>
        <v>0</v>
      </c>
      <c r="AR572" s="105">
        <f>IF(NFI_Expiration=1,IF($A572&lt;VLOOKUP(X$5,NFI,5,0),1,0)*Data_NFI_t[[#This Row],[Sewing Kit]],0)</f>
        <v>0</v>
      </c>
      <c r="AS572" s="709">
        <f>IF(NFI_Expiration=1,IF($A572&lt;VLOOKUP(X$5,NFI,5,0),1,0)*Data_NFI_t[[#This Row],[Solar Lantern]],0)</f>
        <v>0</v>
      </c>
      <c r="AT572" s="105" t="str">
        <f ca="1">IFERROR(OFFSET(Camp_List[P_Code],MATCH(Data_NFI_t[[#This Row],[Camp Name]],Camp_List[Camp Name],0)-1,0,1,1),"")</f>
        <v/>
      </c>
      <c r="AU572" s="412" t="str">
        <f ca="1">IFERROR(OFFSET(Camp_List[Status],MATCH(Data_NFI_t[[#This Row],[Camp Name]],Camp_List[Camp Name],0)-1,0,1,1),"")</f>
        <v/>
      </c>
      <c r="AV572" s="105"/>
    </row>
    <row r="573" spans="1:48" ht="19.5" customHeight="1" x14ac:dyDescent="0.25">
      <c r="A573" s="208">
        <f t="shared" si="11"/>
        <v>78.233333333333334</v>
      </c>
      <c r="B573" s="419">
        <f>YEAR(Data_NFI_t[[#This Row],[Distribution Date]])</f>
        <v>2012</v>
      </c>
      <c r="C573" s="719">
        <v>41087</v>
      </c>
      <c r="D573" s="395" t="s">
        <v>270</v>
      </c>
      <c r="E573" s="394"/>
      <c r="F573" s="395" t="s">
        <v>7</v>
      </c>
      <c r="G573" s="646" t="s">
        <v>17</v>
      </c>
      <c r="H573" s="646" t="s">
        <v>234</v>
      </c>
      <c r="I573" s="646"/>
      <c r="J573" s="646"/>
      <c r="K573" s="646"/>
      <c r="L573" s="42"/>
      <c r="M573" s="42"/>
      <c r="N573" s="93"/>
      <c r="O573" s="93">
        <v>200</v>
      </c>
      <c r="P573" s="93"/>
      <c r="Q573" s="93"/>
      <c r="R573" s="93"/>
      <c r="S573" s="93"/>
      <c r="T573" s="411"/>
      <c r="U573" s="93"/>
      <c r="V573" s="93"/>
      <c r="W573" s="93"/>
      <c r="X573" s="93"/>
      <c r="Y573" s="93"/>
      <c r="Z573" s="93"/>
      <c r="AA573" s="93"/>
      <c r="AB573" s="93"/>
      <c r="AC573" s="93"/>
      <c r="AD573" s="105">
        <f>IF(NFI_Expiration=1,IF($A573&lt;VLOOKUP(I$5,NFI,5,0),1,0)*Data_NFI_t[[#This Row],[Hygiene Kit]],0)</f>
        <v>0</v>
      </c>
      <c r="AE573" s="105">
        <f>IF(NFI_Expiration=1,IF($A573&lt;VLOOKUP(L$5,NFI,5,0),1,0)*Data_NFI_t[[#This Row],[NFI Core Kit]],0)</f>
        <v>0</v>
      </c>
      <c r="AF573" s="86">
        <f>IF(NFI_Expiration=1,IF($A573&lt;VLOOKUP(M$5,NFI,5,0),1,0)*Data_NFI_t[[#This Row],[Sanitary Kit]],0)</f>
        <v>0</v>
      </c>
      <c r="AG573" s="1055">
        <f>IF(NFI_Expiration=1,IF($A573&lt;VLOOKUP(AC$5,NFI,5,0),1,0)*Data_NFI_t[[#This Row],[Rope]],0)</f>
        <v>0</v>
      </c>
      <c r="AH573" s="86">
        <f>IF(NFI_Expiration=1,IF($A573&lt;VLOOKUP(N$5,NFI,5,0),1,0)*Data_NFI_t[[#This Row],[Mosquito net]],0)</f>
        <v>0</v>
      </c>
      <c r="AI573" s="86">
        <f>IF(NFI_Expiration=1,IF($A573&lt;VLOOKUP(O$5,NFI,5,0),1,0)*Data_NFI_t[[#This Row],[Tarpaulin]],0)</f>
        <v>0</v>
      </c>
      <c r="AJ573" s="86">
        <f>IF(NFI_Expiration=1,IF($A573&lt;VLOOKUP(P$5,NFI,5,0),1,0)*Data_NFI_t[[#This Row],[Blanket]],0)</f>
        <v>0</v>
      </c>
      <c r="AK573" s="86">
        <f>IF(NFI_Expiration=1,IF($A573&lt;VLOOKUP(Q$5,NFI,5,0),1,0)*Data_NFI_t[[#This Row],[Kitchen Set]],0)</f>
        <v>0</v>
      </c>
      <c r="AL573" s="86">
        <f>IF(NFI_Expiration=1,IF($A573&lt;VLOOKUP(R$5,NFI,5,0),1,0)*Data_NFI_t[[#This Row],[Complementary Kit]],0)</f>
        <v>0</v>
      </c>
      <c r="AM573" s="86">
        <f>IF(NFI_Expiration=1,IF($A573&lt;VLOOKUP(S$5,NFI,5,0),1,0)*Data_NFI_t[[#This Row],[Plastic Bucket]],0)</f>
        <v>0</v>
      </c>
      <c r="AN573" s="86">
        <f>IF(NFI_Expiration=1,IF($A573&lt;VLOOKUP(T$5,NFI,5,0),1,0)*Data_NFI_t[[#This Row],[Jerry Can]],0)</f>
        <v>0</v>
      </c>
      <c r="AO573" s="105">
        <f>IF(NFI_Expiration=1,IF($A573&lt;VLOOKUP(U$5,NFI,5,0),1,0)*Data_NFI_t[[#This Row],[Plastic Mat]],0)*IF(Data_NFI_t[[#This Row],[Distribution Date]]&gt;"01-06-2015",1,2.5)</f>
        <v>0</v>
      </c>
      <c r="AP573" s="709">
        <f>IF(NFI_Expiration=1,IF($A573&lt;VLOOKUP(V$5,NFI,5,0),1,0)*Data_NFI_t[[#This Row],[Adult Clothes]],0)</f>
        <v>0</v>
      </c>
      <c r="AQ573" s="105">
        <f>IF(NFI_Expiration=1,IF($A573&lt;VLOOKUP(W$5,NFI,5,0),1,0)*Data_NFI_t[[#This Row],[Children Clothes]],0)</f>
        <v>0</v>
      </c>
      <c r="AR573" s="105">
        <f>IF(NFI_Expiration=1,IF($A573&lt;VLOOKUP(X$5,NFI,5,0),1,0)*Data_NFI_t[[#This Row],[Sewing Kit]],0)</f>
        <v>0</v>
      </c>
      <c r="AS573" s="709">
        <f>IF(NFI_Expiration=1,IF($A573&lt;VLOOKUP(X$5,NFI,5,0),1,0)*Data_NFI_t[[#This Row],[Solar Lantern]],0)</f>
        <v>0</v>
      </c>
      <c r="AT573" s="105" t="str">
        <f ca="1">IFERROR(OFFSET(Camp_List[P_Code],MATCH(Data_NFI_t[[#This Row],[Camp Name]],Camp_List[Camp Name],0)-1,0,1,1),"")</f>
        <v/>
      </c>
      <c r="AU573" s="412" t="str">
        <f ca="1">IFERROR(OFFSET(Camp_List[Status],MATCH(Data_NFI_t[[#This Row],[Camp Name]],Camp_List[Camp Name],0)-1,0,1,1),"")</f>
        <v/>
      </c>
      <c r="AV573" s="105"/>
    </row>
    <row r="574" spans="1:48" ht="14.25" customHeight="1" x14ac:dyDescent="0.25">
      <c r="A574" s="208"/>
      <c r="B574" s="419"/>
      <c r="C574" s="719"/>
      <c r="D574" s="395"/>
      <c r="E574" s="394"/>
      <c r="F574" s="395"/>
      <c r="G574" s="646"/>
      <c r="H574" s="646"/>
      <c r="I574" s="646"/>
      <c r="J574" s="646"/>
      <c r="K574" s="646"/>
      <c r="L574" s="42"/>
      <c r="M574" s="42"/>
      <c r="N574" s="93"/>
      <c r="O574" s="93"/>
      <c r="P574" s="93"/>
      <c r="Q574" s="93"/>
      <c r="R574" s="93"/>
      <c r="S574" s="93"/>
      <c r="T574" s="411"/>
      <c r="U574" s="93"/>
      <c r="V574" s="93"/>
      <c r="W574" s="93"/>
      <c r="X574" s="93"/>
      <c r="Y574" s="93"/>
      <c r="Z574" s="93"/>
      <c r="AA574" s="93"/>
      <c r="AB574" s="93"/>
      <c r="AC574" s="93"/>
      <c r="AD574" s="105"/>
      <c r="AE574" s="105"/>
      <c r="AF574" s="86"/>
      <c r="AG574" s="1055">
        <f>IF(NFI_Expiration=1,IF($A574&lt;VLOOKUP(AC$5,NFI,5,0),1,0)*Data_NFI_t[[#This Row],[Rope]],0)</f>
        <v>0</v>
      </c>
      <c r="AH574" s="86"/>
      <c r="AI574" s="86"/>
      <c r="AJ574" s="86"/>
      <c r="AK574" s="86"/>
      <c r="AL574" s="86"/>
      <c r="AM574" s="86"/>
      <c r="AN574" s="105"/>
      <c r="AO574" s="105"/>
      <c r="AP574" s="709">
        <f>IF(NFI_Expiration=1,IF($A574&lt;VLOOKUP(V$5,NFI,5,0),1,0)*Data_NFI_t[[#This Row],[Adult Clothes]],0)</f>
        <v>0</v>
      </c>
      <c r="AQ574" s="105">
        <f>IF(NFI_Expiration=1,IF($A574&lt;VLOOKUP(W$5,NFI,5,0),1,0)*Data_NFI_t[[#This Row],[Children Clothes]],0)</f>
        <v>0</v>
      </c>
      <c r="AR574" s="105">
        <f>IF(NFI_Expiration=1,IF($A574&lt;VLOOKUP(X$5,NFI,5,0),1,0)*Data_NFI_t[[#This Row],[Sewing Kit]],0)</f>
        <v>0</v>
      </c>
      <c r="AS574" s="709">
        <f>IF(NFI_Expiration=1,IF($A574&lt;VLOOKUP(X$5,NFI,5,0),1,0)*Data_NFI_t[[#This Row],[Solar Lantern]],0)</f>
        <v>0</v>
      </c>
      <c r="AT574" s="105"/>
      <c r="AU574" s="412"/>
      <c r="AV574" s="105"/>
    </row>
    <row r="575" spans="1:48" ht="14.25" customHeight="1" x14ac:dyDescent="0.25">
      <c r="A575" s="208" t="str">
        <f>IF(ISBLANK(C575),"",(Report_Date-C575)/30)</f>
        <v/>
      </c>
      <c r="B575" s="419">
        <f>YEAR(Data_NFI_t[[#This Row],[Distribution Date]])</f>
        <v>1900</v>
      </c>
      <c r="C575" s="719"/>
      <c r="D575" s="395"/>
      <c r="E575" s="394"/>
      <c r="F575" s="395"/>
      <c r="G575" s="646"/>
      <c r="H575" s="646"/>
      <c r="I575" s="646"/>
      <c r="J575" s="646"/>
      <c r="K575" s="646"/>
      <c r="L575" s="42"/>
      <c r="M575" s="42"/>
      <c r="N575" s="93"/>
      <c r="O575" s="93"/>
      <c r="P575" s="93"/>
      <c r="Q575" s="93"/>
      <c r="R575" s="93"/>
      <c r="S575" s="93"/>
      <c r="T575" s="411"/>
      <c r="U575" s="93"/>
      <c r="X575" s="93"/>
      <c r="Y575" s="93"/>
      <c r="Z575" s="93"/>
      <c r="AA575" s="93"/>
      <c r="AB575" s="93"/>
      <c r="AC575" s="93"/>
      <c r="AD575" s="105">
        <f>IF(NFI_Expiration=1,IF($A575&lt;VLOOKUP(I$5,NFI,5,0),1,0)*Data_NFI_t[[#This Row],[Hygiene Kit]],0)</f>
        <v>0</v>
      </c>
      <c r="AE575" s="105">
        <f>IF(NFI_Expiration=1,IF($A575&lt;VLOOKUP(L$5,NFI,5,0),1,0)*Data_NFI_t[[#This Row],[NFI Core Kit]],0)</f>
        <v>0</v>
      </c>
      <c r="AF575" s="86">
        <f>IF(NFI_Expiration=1,IF($A575&lt;VLOOKUP(M$5,NFI,5,0),1,0)*Data_NFI_t[[#This Row],[Sanitary Kit]],0)</f>
        <v>0</v>
      </c>
      <c r="AG575" s="1055">
        <f>IF(NFI_Expiration=1,IF($A575&lt;VLOOKUP(AC$5,NFI,5,0),1,0)*Data_NFI_t[[#This Row],[Rope]],0)</f>
        <v>0</v>
      </c>
      <c r="AH575" s="86">
        <f>IF(NFI_Expiration=1,IF($A575&lt;VLOOKUP(N$5,NFI,5,0),1,0)*Data_NFI_t[[#This Row],[Mosquito net]],0)</f>
        <v>0</v>
      </c>
      <c r="AI575" s="86">
        <f>IF(NFI_Expiration=1,IF($A575&lt;VLOOKUP(O$5,NFI,5,0),1,0)*Data_NFI_t[[#This Row],[Tarpaulin]],0)</f>
        <v>0</v>
      </c>
      <c r="AJ575" s="86">
        <f>IF(NFI_Expiration=1,IF($A575&lt;VLOOKUP(P$5,NFI,5,0),1,0)*Data_NFI_t[[#This Row],[Blanket]],0)</f>
        <v>0</v>
      </c>
      <c r="AK575" s="86">
        <f>IF(NFI_Expiration=1,IF($A575&lt;VLOOKUP(Q$5,NFI,5,0),1,0)*Data_NFI_t[[#This Row],[Kitchen Set]],0)</f>
        <v>0</v>
      </c>
      <c r="AL575" s="86">
        <f>IF(NFI_Expiration=1,IF($A575&lt;VLOOKUP(R$5,NFI,5,0),1,0)*Data_NFI_t[[#This Row],[Complementary Kit]],0)</f>
        <v>0</v>
      </c>
      <c r="AM575" s="86">
        <f>IF(NFI_Expiration=1,IF($A575&lt;VLOOKUP(S$5,NFI,5,0),1,0)*Data_NFI_t[[#This Row],[Plastic Bucket]],0)</f>
        <v>0</v>
      </c>
      <c r="AN575" s="105">
        <f>IF(NFI_Expiration=1,IF($A575&lt;VLOOKUP(T$5,NFI,5,0),1,0)*Data_NFI_t[[#This Row],[Jerry Can]],0)</f>
        <v>0</v>
      </c>
      <c r="AO575" s="105">
        <f>IF(NFI_Expiration=1,IF($A575&lt;VLOOKUP(U$5,NFI,5,0),1,0)*Data_NFI_t[[#This Row],[Plastic Mat]],0)*IF(Data_NFI_t[[#This Row],[Distribution Date]]&gt;"01-06-2015",1,2.5)</f>
        <v>0</v>
      </c>
      <c r="AP575" s="105">
        <f>IF(NFI_Expiration=1,IF($A575&lt;VLOOKUP(V$5,NFI,5,0),1,0)*Data_NFI_t[[#This Row],[Adult Clothes]],0)</f>
        <v>0</v>
      </c>
      <c r="AQ575" s="105">
        <f>IF(NFI_Expiration=1,IF($A575&lt;VLOOKUP(W$5,NFI,5,0),1,0)*Data_NFI_t[[#This Row],[Children Clothes]],0)</f>
        <v>0</v>
      </c>
      <c r="AR575" s="105">
        <f>IF(NFI_Expiration=1,IF($A575&lt;VLOOKUP(X$5,NFI,5,0),1,0)*Data_NFI_t[[#This Row],[Sewing Kit]],0)</f>
        <v>0</v>
      </c>
      <c r="AS575" s="105">
        <f>IF(NFI_Expiration=1,IF($A575&lt;VLOOKUP(X$5,NFI,5,0),1,0)*Data_NFI_t[[#This Row],[Solar Lantern]],0)</f>
        <v>0</v>
      </c>
      <c r="AT575" s="105" t="str">
        <f ca="1">IFERROR(OFFSET(Camp_List[P_Code],MATCH(Data_NFI_t[[#This Row],[Camp Name]],Camp_List[Camp Name],0)-1,0,1,1),"")</f>
        <v/>
      </c>
      <c r="AU575" s="412" t="str">
        <f ca="1">IFERROR(OFFSET(Camp_List[Status],MATCH(Data_NFI_t[[#This Row],[Camp Name]],Camp_List[Camp Name],0)-1,0,1,1),"")</f>
        <v/>
      </c>
      <c r="AV575" s="105"/>
    </row>
    <row r="576" spans="1:48" ht="14.25" customHeight="1" x14ac:dyDescent="0.25">
      <c r="A576"/>
      <c r="B576" s="35"/>
      <c r="C576"/>
      <c r="E576" s="92"/>
      <c r="I576" s="92"/>
      <c r="J576" s="806"/>
      <c r="K576" s="806"/>
      <c r="L576" s="93"/>
      <c r="M576" s="93"/>
      <c r="N576" s="93"/>
      <c r="O576" s="93"/>
      <c r="P576" s="93"/>
      <c r="Q576" s="93"/>
      <c r="R576" s="93"/>
      <c r="S576" s="93"/>
      <c r="T576" s="411"/>
      <c r="U576" s="93"/>
      <c r="V576" s="1031"/>
      <c r="W576" s="1031"/>
      <c r="X576" s="93"/>
      <c r="Y576" s="93"/>
      <c r="Z576" s="93"/>
      <c r="AA576" s="93"/>
      <c r="AB576" s="93"/>
      <c r="AC576" s="93"/>
      <c r="AD576"/>
      <c r="AE576"/>
      <c r="AF576"/>
      <c r="AG576" s="1057"/>
      <c r="AH576"/>
      <c r="AI576"/>
      <c r="AJ576"/>
      <c r="AK576"/>
      <c r="AL576"/>
      <c r="AM576"/>
      <c r="AN576" s="78"/>
      <c r="AO576"/>
      <c r="AP576" s="645"/>
      <c r="AQ576" s="645"/>
      <c r="AR576" s="645"/>
      <c r="AS576" s="645"/>
    </row>
    <row r="577" ht="14.25" customHeight="1" x14ac:dyDescent="0.25"/>
    <row r="578" ht="14.25" customHeight="1" x14ac:dyDescent="0.25"/>
    <row r="579" ht="14.25" customHeight="1" x14ac:dyDescent="0.25"/>
    <row r="580" ht="14.25" customHeight="1" x14ac:dyDescent="0.25"/>
    <row r="581" ht="14.25" customHeight="1" x14ac:dyDescent="0.25"/>
  </sheetData>
  <sortState ref="A5:A1000">
    <sortCondition descending="1" ref="A8"/>
  </sortState>
  <mergeCells count="3">
    <mergeCell ref="A4:D4"/>
    <mergeCell ref="A2:I2"/>
    <mergeCell ref="A3:I3"/>
  </mergeCells>
  <conditionalFormatting sqref="AU173:AU181 AU168 AU576">
    <cfRule type="cellIs" dxfId="502" priority="4" operator="equal">
      <formula>"close"</formula>
    </cfRule>
  </conditionalFormatting>
  <conditionalFormatting sqref="AU182:AU569">
    <cfRule type="cellIs" dxfId="501" priority="2" operator="equal">
      <formula>"close"</formula>
    </cfRule>
  </conditionalFormatting>
  <dataValidations count="5">
    <dataValidation type="list" allowBlank="1" showInputMessage="1" showErrorMessage="1" sqref="D240:D251">
      <formula1>Agency1</formula1>
    </dataValidation>
    <dataValidation type="list" showInputMessage="1" showErrorMessage="1" sqref="JQ224 WWC224 WMG224 WCK224 VSO224 VIS224 UYW224 UPA224 UFE224 TVI224 TLM224 TBQ224 SRU224 SHY224 RYC224 ROG224 REK224 QUO224 QKS224 QAW224 PRA224 PHE224 OXI224 ONM224 ODQ224 NTU224 NJY224 NAC224 MQG224 MGK224 LWO224 LMS224 LCW224 KTA224 KJE224 JZI224 JPM224 JFQ224 IVU224 ILY224 ICC224 HSG224 HIK224 GYO224 GOS224 GEW224 FVA224 FLE224 FBI224 ERM224 EHQ224 DXU224 DNY224 DEC224 CUG224 CKK224 CAO224 BQS224 BGW224 AXA224 ANE224 ADI224 TM224">
      <formula1>INDIRECT(#REF!)</formula1>
    </dataValidation>
    <dataValidation type="list" allowBlank="1" showInputMessage="1" showErrorMessage="1" sqref="F6:F575">
      <formula1>State</formula1>
    </dataValidation>
    <dataValidation type="list" showInputMessage="1" showErrorMessage="1" sqref="G6:G575">
      <formula1>INDIRECT(F6)</formula1>
    </dataValidation>
    <dataValidation type="list" errorStyle="warning" showInputMessage="1" showErrorMessage="1" sqref="H6:H575">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P12" sqref="P12"/>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x14ac:dyDescent="0.25">
      <c r="A3" s="1110">
        <f>Report_Date</f>
        <v>43434</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76"/>
      <c r="AN3" s="176"/>
      <c r="AO3" s="176"/>
      <c r="AP3" s="176"/>
      <c r="AQ3" s="176"/>
      <c r="AR3" s="176"/>
      <c r="AS3" s="176"/>
      <c r="AT3" s="176"/>
      <c r="AU3" s="176"/>
      <c r="AV3" s="176"/>
      <c r="AW3" s="176"/>
      <c r="AX3" s="177"/>
      <c r="BO3" s="58"/>
      <c r="BP3" s="58"/>
    </row>
    <row r="4" spans="1:68" s="50" customFormat="1" ht="15.75" customHeight="1" thickBot="1" x14ac:dyDescent="0.3">
      <c r="O4" s="645"/>
      <c r="P4" s="645"/>
      <c r="Q4" s="645"/>
      <c r="R4" s="645"/>
      <c r="S4" s="645"/>
      <c r="T4" s="645"/>
      <c r="AG4" s="78"/>
      <c r="AH4" s="78"/>
      <c r="AI4" s="78"/>
      <c r="AJ4" s="78"/>
      <c r="AK4" s="78"/>
      <c r="AL4" s="78"/>
      <c r="AM4" s="78"/>
      <c r="AN4" s="78"/>
      <c r="AO4" s="78"/>
      <c r="AP4" s="78"/>
      <c r="AQ4" s="78"/>
      <c r="AR4" s="78"/>
      <c r="AS4" s="645"/>
      <c r="AT4" s="219"/>
      <c r="AU4" s="219"/>
    </row>
    <row r="5" spans="1:68" s="43" customFormat="1" ht="72.75" customHeight="1" thickBot="1" x14ac:dyDescent="0.3">
      <c r="A5" s="1197" t="s">
        <v>198</v>
      </c>
      <c r="B5" s="1197" t="s">
        <v>191</v>
      </c>
      <c r="C5" s="211"/>
      <c r="D5" s="1197" t="s">
        <v>10</v>
      </c>
      <c r="E5" s="1197" t="s">
        <v>1</v>
      </c>
      <c r="F5" s="1208" t="s">
        <v>192</v>
      </c>
      <c r="G5" s="1209"/>
      <c r="H5" s="1210"/>
      <c r="I5" s="1211" t="s">
        <v>193</v>
      </c>
      <c r="J5" s="1212"/>
      <c r="K5" s="1213"/>
      <c r="L5" s="1205" t="s">
        <v>194</v>
      </c>
      <c r="M5" s="1206"/>
      <c r="N5" s="1207"/>
      <c r="O5" s="1205" t="s">
        <v>1032</v>
      </c>
      <c r="P5" s="1206"/>
      <c r="Q5" s="1207"/>
      <c r="R5" s="1220" t="s">
        <v>1120</v>
      </c>
      <c r="S5" s="1221"/>
      <c r="T5" s="1222"/>
      <c r="U5" s="1202" t="s">
        <v>195</v>
      </c>
      <c r="V5" s="1203"/>
      <c r="W5" s="1204"/>
      <c r="X5" s="1199" t="s">
        <v>196</v>
      </c>
      <c r="Y5" s="1200"/>
      <c r="Z5" s="1201"/>
      <c r="AA5" s="1209" t="s">
        <v>218</v>
      </c>
      <c r="AB5" s="1209"/>
      <c r="AC5" s="1209"/>
      <c r="AD5" s="1214" t="s">
        <v>219</v>
      </c>
      <c r="AE5" s="1215"/>
      <c r="AF5" s="1216"/>
      <c r="AG5" s="1223" t="s">
        <v>824</v>
      </c>
      <c r="AH5" s="1224"/>
      <c r="AI5" s="1225"/>
      <c r="AJ5" s="1217" t="s">
        <v>535</v>
      </c>
      <c r="AK5" s="1218"/>
      <c r="AL5" s="1219"/>
      <c r="AM5" s="1234" t="s">
        <v>536</v>
      </c>
      <c r="AN5" s="1235"/>
      <c r="AO5" s="1236"/>
      <c r="AP5" s="1226" t="s">
        <v>862</v>
      </c>
      <c r="AQ5" s="1232"/>
      <c r="AR5" s="1233"/>
      <c r="AS5" s="1226" t="s">
        <v>1146</v>
      </c>
      <c r="AT5" s="1227"/>
      <c r="AU5" s="1228"/>
      <c r="AV5" s="1229" t="s">
        <v>1042</v>
      </c>
      <c r="AW5" s="1230"/>
      <c r="AX5" s="1231"/>
    </row>
    <row r="6" spans="1:68" s="43" customFormat="1" ht="64.5" customHeight="1" thickBot="1" x14ac:dyDescent="0.3">
      <c r="A6" s="1198"/>
      <c r="B6" s="1198"/>
      <c r="C6" s="212" t="s">
        <v>202</v>
      </c>
      <c r="D6" s="1198"/>
      <c r="E6" s="1198"/>
      <c r="F6" s="147" t="s">
        <v>991</v>
      </c>
      <c r="G6" s="651" t="s">
        <v>199</v>
      </c>
      <c r="H6" s="652" t="s">
        <v>200</v>
      </c>
      <c r="I6" s="147" t="s">
        <v>991</v>
      </c>
      <c r="J6" s="651" t="s">
        <v>199</v>
      </c>
      <c r="K6" s="652" t="s">
        <v>200</v>
      </c>
      <c r="L6" s="651" t="s">
        <v>197</v>
      </c>
      <c r="M6" s="651" t="s">
        <v>199</v>
      </c>
      <c r="N6" s="652" t="s">
        <v>200</v>
      </c>
      <c r="O6" s="725" t="s">
        <v>991</v>
      </c>
      <c r="P6" s="652" t="s">
        <v>199</v>
      </c>
      <c r="Q6" s="652" t="s">
        <v>200</v>
      </c>
      <c r="R6" s="725" t="s">
        <v>991</v>
      </c>
      <c r="S6" s="652" t="s">
        <v>199</v>
      </c>
      <c r="T6" s="652"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2" t="s">
        <v>199</v>
      </c>
      <c r="AR6" s="513" t="s">
        <v>200</v>
      </c>
      <c r="AS6" s="147" t="s">
        <v>197</v>
      </c>
      <c r="AT6" s="1053" t="s">
        <v>199</v>
      </c>
      <c r="AU6" s="513" t="s">
        <v>200</v>
      </c>
      <c r="AV6" s="725" t="s">
        <v>197</v>
      </c>
      <c r="AW6" s="746" t="s">
        <v>199</v>
      </c>
      <c r="AX6" s="513" t="s">
        <v>200</v>
      </c>
    </row>
    <row r="7" spans="1:68" s="5" customFormat="1" ht="23.25" customHeight="1" x14ac:dyDescent="0.25">
      <c r="A7" s="94">
        <v>42657</v>
      </c>
      <c r="B7" s="95" t="s">
        <v>270</v>
      </c>
      <c r="C7" s="95" t="s">
        <v>270</v>
      </c>
      <c r="D7" s="95" t="s">
        <v>7</v>
      </c>
      <c r="E7" s="95" t="s">
        <v>18</v>
      </c>
      <c r="F7" s="96" t="s">
        <v>990</v>
      </c>
      <c r="G7" s="16"/>
      <c r="H7" s="97"/>
      <c r="I7" s="96">
        <v>494</v>
      </c>
      <c r="J7" s="16"/>
      <c r="K7" s="97"/>
      <c r="L7" s="96">
        <v>599</v>
      </c>
      <c r="M7" s="16"/>
      <c r="N7" s="97"/>
      <c r="O7" s="16"/>
      <c r="P7" s="16"/>
      <c r="Q7" s="16"/>
      <c r="R7" s="894"/>
      <c r="S7" s="895"/>
      <c r="T7" s="896"/>
      <c r="U7" s="748">
        <v>1004</v>
      </c>
      <c r="V7" s="216">
        <v>0</v>
      </c>
      <c r="W7" s="217">
        <v>0</v>
      </c>
      <c r="X7" s="748">
        <v>410</v>
      </c>
      <c r="Y7" s="216">
        <v>0</v>
      </c>
      <c r="Z7" s="217">
        <v>0</v>
      </c>
      <c r="AA7" s="748">
        <v>975</v>
      </c>
      <c r="AB7" s="216">
        <v>0</v>
      </c>
      <c r="AC7" s="217">
        <v>0</v>
      </c>
      <c r="AD7" s="259">
        <v>795</v>
      </c>
      <c r="AE7" s="213">
        <v>0</v>
      </c>
      <c r="AF7" s="214">
        <v>0</v>
      </c>
      <c r="AG7" s="215">
        <v>0</v>
      </c>
      <c r="AH7" s="213">
        <v>0</v>
      </c>
      <c r="AI7" s="214">
        <v>0</v>
      </c>
      <c r="AJ7" s="259">
        <v>439</v>
      </c>
      <c r="AK7" s="213">
        <v>0</v>
      </c>
      <c r="AL7" s="214">
        <v>0</v>
      </c>
      <c r="AM7" s="744">
        <v>2480</v>
      </c>
      <c r="AN7" s="213">
        <v>0</v>
      </c>
      <c r="AO7" s="214">
        <v>0</v>
      </c>
      <c r="AP7" s="259">
        <v>1082</v>
      </c>
      <c r="AQ7" s="213">
        <v>0</v>
      </c>
      <c r="AR7" s="214">
        <v>0</v>
      </c>
      <c r="AS7" s="213"/>
      <c r="AT7" s="213"/>
      <c r="AU7" s="214"/>
      <c r="AV7" s="259"/>
      <c r="AW7" s="213"/>
      <c r="AX7" s="214"/>
    </row>
    <row r="8" spans="1:68" s="5" customFormat="1" ht="23.25" customHeight="1" x14ac:dyDescent="0.25">
      <c r="A8" s="94">
        <v>42657</v>
      </c>
      <c r="B8" s="95" t="s">
        <v>270</v>
      </c>
      <c r="C8" s="95" t="s">
        <v>270</v>
      </c>
      <c r="D8" s="95" t="s">
        <v>7</v>
      </c>
      <c r="E8" s="95" t="s">
        <v>553</v>
      </c>
      <c r="F8" s="96" t="s">
        <v>990</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44">
        <v>2515</v>
      </c>
      <c r="AN8" s="213">
        <v>0</v>
      </c>
      <c r="AO8" s="214">
        <v>0</v>
      </c>
      <c r="AP8" s="259">
        <v>1081</v>
      </c>
      <c r="AQ8" s="259">
        <v>0</v>
      </c>
      <c r="AR8" s="214">
        <v>0</v>
      </c>
      <c r="AS8" s="213"/>
      <c r="AT8" s="213"/>
      <c r="AU8" s="214"/>
      <c r="AV8" s="259"/>
      <c r="AW8" s="259"/>
      <c r="AX8" s="214"/>
    </row>
    <row r="9" spans="1:68" s="5" customFormat="1" ht="23.25" customHeight="1" x14ac:dyDescent="0.25">
      <c r="A9" s="94">
        <v>43438</v>
      </c>
      <c r="B9" s="95" t="s">
        <v>270</v>
      </c>
      <c r="C9" s="95" t="s">
        <v>270</v>
      </c>
      <c r="D9" s="95" t="s">
        <v>7</v>
      </c>
      <c r="E9" s="95" t="s">
        <v>17</v>
      </c>
      <c r="F9" s="96">
        <v>68</v>
      </c>
      <c r="G9" s="16"/>
      <c r="H9" s="97"/>
      <c r="I9" s="96"/>
      <c r="J9" s="16"/>
      <c r="K9" s="97"/>
      <c r="L9" s="96">
        <v>21</v>
      </c>
      <c r="M9" s="16"/>
      <c r="N9" s="97"/>
      <c r="O9" s="16">
        <v>1099</v>
      </c>
      <c r="P9" s="16"/>
      <c r="Q9" s="16"/>
      <c r="R9" s="96">
        <v>68</v>
      </c>
      <c r="S9" s="16"/>
      <c r="T9" s="97"/>
      <c r="U9" s="260">
        <v>2450</v>
      </c>
      <c r="V9" s="213">
        <v>0</v>
      </c>
      <c r="W9" s="214">
        <v>0</v>
      </c>
      <c r="X9" s="260">
        <v>659</v>
      </c>
      <c r="Y9" s="213">
        <v>0</v>
      </c>
      <c r="Z9" s="214">
        <v>0</v>
      </c>
      <c r="AA9" s="260">
        <v>1525</v>
      </c>
      <c r="AB9" s="213">
        <v>0</v>
      </c>
      <c r="AC9" s="214">
        <v>0</v>
      </c>
      <c r="AD9" s="259">
        <v>0</v>
      </c>
      <c r="AE9" s="213">
        <v>0</v>
      </c>
      <c r="AF9" s="214">
        <v>0</v>
      </c>
      <c r="AG9" s="215">
        <v>8</v>
      </c>
      <c r="AH9" s="213">
        <v>0</v>
      </c>
      <c r="AI9" s="214">
        <v>0</v>
      </c>
      <c r="AJ9" s="259">
        <v>1948</v>
      </c>
      <c r="AK9" s="213">
        <v>0</v>
      </c>
      <c r="AL9" s="214">
        <v>0</v>
      </c>
      <c r="AM9" s="744">
        <v>3625</v>
      </c>
      <c r="AN9" s="213">
        <v>0</v>
      </c>
      <c r="AO9" s="214">
        <v>0</v>
      </c>
      <c r="AP9" s="259">
        <v>245</v>
      </c>
      <c r="AQ9" s="213">
        <v>0</v>
      </c>
      <c r="AR9" s="214">
        <v>0</v>
      </c>
      <c r="AS9" s="213"/>
      <c r="AT9" s="213"/>
      <c r="AU9" s="214"/>
      <c r="AV9" s="259">
        <v>620</v>
      </c>
      <c r="AW9" s="213"/>
      <c r="AX9" s="214"/>
    </row>
    <row r="10" spans="1:68"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x14ac:dyDescent="0.25">
      <c r="A11" s="59" t="s">
        <v>722</v>
      </c>
      <c r="B11" s="59"/>
      <c r="C11" s="59"/>
      <c r="D11" s="59"/>
      <c r="E11" s="59"/>
      <c r="R11" s="48"/>
      <c r="T11" s="49"/>
      <c r="W11" s="49"/>
      <c r="AA11" s="48"/>
      <c r="AB11" s="1"/>
      <c r="AC11" s="49"/>
      <c r="AD11" s="1"/>
      <c r="AM11" s="743"/>
      <c r="AV11" s="259"/>
      <c r="AW11" s="213"/>
      <c r="AX11" s="214"/>
    </row>
    <row r="12" spans="1:68" ht="23.25" customHeight="1" x14ac:dyDescent="0.25">
      <c r="A12" s="59"/>
      <c r="B12" s="59"/>
      <c r="C12" s="59"/>
      <c r="D12" s="59"/>
      <c r="E12" s="59"/>
      <c r="R12" s="48"/>
      <c r="T12" s="49"/>
      <c r="W12" s="49"/>
      <c r="AA12" s="48"/>
      <c r="AB12" s="1"/>
      <c r="AC12" s="49"/>
      <c r="AD12" s="1"/>
      <c r="AV12" s="259"/>
      <c r="AW12" s="213"/>
      <c r="AX12" s="214"/>
    </row>
    <row r="13" spans="1:68" ht="23.25" customHeight="1" x14ac:dyDescent="0.25">
      <c r="A13" s="59"/>
      <c r="B13" s="59"/>
      <c r="C13" s="59"/>
      <c r="D13" s="59"/>
      <c r="E13" s="59"/>
      <c r="R13" s="48"/>
      <c r="T13" s="49"/>
      <c r="W13" s="49"/>
      <c r="AA13" s="48"/>
      <c r="AB13" s="1"/>
      <c r="AC13" s="49"/>
      <c r="AD13" s="1"/>
      <c r="AV13" s="259"/>
      <c r="AW13" s="213"/>
      <c r="AX13" s="214"/>
    </row>
    <row r="14" spans="1:68" ht="23.25" customHeight="1" x14ac:dyDescent="0.25">
      <c r="A14" s="59"/>
      <c r="B14" s="59"/>
      <c r="C14" s="59"/>
      <c r="D14" s="59"/>
      <c r="E14" s="59"/>
      <c r="R14" s="48"/>
      <c r="T14" s="49"/>
      <c r="W14" s="49"/>
      <c r="AA14" s="48"/>
      <c r="AB14" s="1"/>
      <c r="AC14" s="49"/>
      <c r="AD14" s="1"/>
      <c r="AV14" s="259"/>
      <c r="AW14" s="213"/>
      <c r="AX14" s="214"/>
    </row>
    <row r="15" spans="1:68" ht="23.25" customHeight="1" x14ac:dyDescent="0.25">
      <c r="A15" s="59"/>
      <c r="B15" s="59"/>
      <c r="C15" s="59"/>
      <c r="D15" s="59"/>
      <c r="E15" s="59"/>
      <c r="R15" s="48"/>
      <c r="T15" s="49"/>
      <c r="W15" s="49"/>
      <c r="AA15" s="48"/>
      <c r="AB15" s="1"/>
      <c r="AC15" s="49"/>
      <c r="AD15" s="1"/>
      <c r="AV15" s="259"/>
      <c r="AW15" s="213"/>
      <c r="AX15" s="214"/>
    </row>
    <row r="16" spans="1:68" ht="23.25" customHeight="1" x14ac:dyDescent="0.25">
      <c r="A16" s="59"/>
      <c r="B16" s="59"/>
      <c r="C16" s="59"/>
      <c r="D16" s="59"/>
      <c r="E16" s="59"/>
      <c r="R16" s="48"/>
      <c r="T16" s="49"/>
      <c r="W16" s="49"/>
      <c r="AA16" s="48"/>
      <c r="AB16" s="1"/>
      <c r="AC16" s="49"/>
      <c r="AD16" s="1"/>
      <c r="AV16" s="259"/>
      <c r="AW16" s="213"/>
      <c r="AX16" s="214"/>
    </row>
    <row r="17" spans="1:50" ht="23.25" customHeight="1" x14ac:dyDescent="0.25">
      <c r="A17" s="59"/>
      <c r="B17" s="59"/>
      <c r="C17" s="59"/>
      <c r="D17" s="59"/>
      <c r="E17" s="59"/>
      <c r="R17" s="48"/>
      <c r="T17" s="49"/>
      <c r="W17" s="49"/>
      <c r="AA17" s="48"/>
      <c r="AB17" s="1"/>
      <c r="AC17" s="49"/>
      <c r="AD17" s="1"/>
      <c r="AV17" s="259"/>
      <c r="AW17" s="213"/>
      <c r="AX17" s="214"/>
    </row>
    <row r="18" spans="1:50" ht="23.25" customHeight="1" x14ac:dyDescent="0.25">
      <c r="A18" s="59"/>
      <c r="B18" s="59"/>
      <c r="C18" s="59"/>
      <c r="D18" s="59"/>
      <c r="E18" s="59"/>
      <c r="R18" s="48"/>
      <c r="T18" s="49"/>
      <c r="W18" s="49"/>
      <c r="AA18" s="48"/>
      <c r="AB18" s="1"/>
      <c r="AC18" s="49"/>
      <c r="AD18" s="1"/>
      <c r="AV18" s="259"/>
      <c r="AW18" s="213"/>
      <c r="AX18" s="214"/>
    </row>
    <row r="19" spans="1:50" ht="51.75" customHeight="1" x14ac:dyDescent="0.25">
      <c r="A19" s="59"/>
      <c r="B19" s="59"/>
      <c r="C19" s="59"/>
      <c r="D19" s="59"/>
      <c r="E19" s="59"/>
      <c r="R19" s="48"/>
      <c r="T19" s="49"/>
      <c r="W19" s="49"/>
      <c r="AA19" s="48"/>
      <c r="AB19" s="1"/>
      <c r="AC19" s="49"/>
      <c r="AD19" s="1"/>
      <c r="AV19" s="259"/>
      <c r="AW19" s="213"/>
      <c r="AX19" s="214"/>
    </row>
    <row r="20" spans="1:50" ht="51.75" customHeight="1" x14ac:dyDescent="0.25">
      <c r="A20" s="59"/>
      <c r="B20" s="59"/>
      <c r="C20" s="59"/>
      <c r="D20" s="59"/>
      <c r="E20" s="59"/>
      <c r="R20" s="48"/>
      <c r="T20" s="49"/>
      <c r="W20" s="49"/>
      <c r="AA20" s="48"/>
      <c r="AB20" s="1"/>
      <c r="AC20" s="49"/>
      <c r="AD20" s="1"/>
      <c r="AV20" s="259"/>
      <c r="AW20" s="213"/>
      <c r="AX20" s="214"/>
    </row>
    <row r="21" spans="1:50" ht="51.75" customHeight="1" x14ac:dyDescent="0.25">
      <c r="A21" s="59"/>
      <c r="B21" s="59"/>
      <c r="C21" s="59"/>
      <c r="D21" s="59"/>
      <c r="E21" s="59"/>
      <c r="R21" s="48"/>
      <c r="T21" s="49"/>
      <c r="W21" s="49"/>
      <c r="AA21" s="48"/>
      <c r="AB21" s="1"/>
      <c r="AC21" s="49"/>
      <c r="AD21" s="1"/>
      <c r="AV21" s="259"/>
      <c r="AW21" s="213"/>
      <c r="AX21" s="214"/>
    </row>
    <row r="22" spans="1:50" ht="51.75" customHeight="1" x14ac:dyDescent="0.25">
      <c r="A22" s="59"/>
      <c r="B22" s="59"/>
      <c r="C22" s="59"/>
      <c r="D22" s="59"/>
      <c r="E22" s="59"/>
      <c r="R22" s="48"/>
      <c r="T22" s="49"/>
      <c r="W22" s="49"/>
      <c r="AA22" s="48"/>
      <c r="AB22" s="1"/>
      <c r="AC22" s="49"/>
      <c r="AD22" s="1"/>
      <c r="AV22" s="259"/>
      <c r="AW22" s="213"/>
      <c r="AX22" s="214"/>
    </row>
    <row r="23" spans="1:50" ht="51.75" customHeight="1" x14ac:dyDescent="0.25">
      <c r="A23" s="59"/>
      <c r="B23" s="59"/>
      <c r="C23" s="59"/>
      <c r="D23" s="59"/>
      <c r="E23" s="59"/>
      <c r="R23" s="48"/>
      <c r="T23" s="49"/>
      <c r="W23" s="49"/>
      <c r="AA23" s="48"/>
      <c r="AB23" s="1"/>
      <c r="AC23" s="49"/>
      <c r="AD23" s="1"/>
      <c r="AV23" s="259"/>
      <c r="AW23" s="213"/>
      <c r="AX23" s="214"/>
    </row>
    <row r="24" spans="1:50" ht="51.75" customHeight="1" x14ac:dyDescent="0.25">
      <c r="R24" s="48"/>
      <c r="T24" s="49"/>
      <c r="W24" s="49"/>
      <c r="AA24" s="48"/>
      <c r="AB24" s="1"/>
      <c r="AC24" s="49"/>
      <c r="AD24" s="1"/>
      <c r="AV24" s="259"/>
      <c r="AW24" s="213"/>
      <c r="AX24" s="214"/>
    </row>
    <row r="25" spans="1:50" ht="51.75" customHeight="1" x14ac:dyDescent="0.25">
      <c r="R25" s="48"/>
      <c r="T25" s="49"/>
      <c r="W25" s="49"/>
      <c r="AA25" s="48"/>
      <c r="AB25" s="1"/>
      <c r="AC25" s="49"/>
      <c r="AD25" s="1"/>
      <c r="AV25" s="259"/>
      <c r="AW25" s="213"/>
      <c r="AX25" s="214"/>
    </row>
    <row r="26" spans="1:50" ht="51.75" customHeight="1" x14ac:dyDescent="0.25">
      <c r="R26" s="48"/>
      <c r="T26" s="49"/>
      <c r="W26" s="49"/>
      <c r="AA26" s="48"/>
      <c r="AB26" s="1"/>
      <c r="AC26" s="49"/>
      <c r="AD26" s="1"/>
      <c r="AV26" s="259"/>
      <c r="AW26" s="213"/>
      <c r="AX26" s="214"/>
    </row>
    <row r="27" spans="1:50" ht="51.75" customHeight="1" x14ac:dyDescent="0.25">
      <c r="R27" s="48"/>
      <c r="T27" s="49"/>
      <c r="W27" s="49"/>
      <c r="AA27" s="48"/>
      <c r="AB27" s="1"/>
      <c r="AC27" s="49"/>
      <c r="AD27" s="1"/>
      <c r="AV27" s="259"/>
      <c r="AW27" s="213"/>
      <c r="AX27" s="214"/>
    </row>
    <row r="28" spans="1:50" ht="51.75" customHeight="1" x14ac:dyDescent="0.25">
      <c r="R28" s="48"/>
      <c r="T28" s="49"/>
      <c r="W28" s="49"/>
      <c r="AA28" s="48"/>
      <c r="AB28" s="1"/>
      <c r="AC28" s="49"/>
      <c r="AD28" s="1"/>
      <c r="AV28" s="259"/>
      <c r="AW28" s="213"/>
      <c r="AX28" s="214"/>
    </row>
    <row r="29" spans="1:50" ht="51.75" customHeight="1" x14ac:dyDescent="0.25">
      <c r="R29" s="48"/>
      <c r="T29" s="49"/>
      <c r="W29" s="49"/>
      <c r="AA29" s="48"/>
      <c r="AB29" s="1"/>
      <c r="AC29" s="49"/>
      <c r="AD29" s="1"/>
      <c r="AV29" s="259"/>
      <c r="AW29" s="213"/>
      <c r="AX29" s="214"/>
    </row>
    <row r="30" spans="1:50" ht="51.75" customHeight="1" x14ac:dyDescent="0.25">
      <c r="R30" s="48"/>
      <c r="T30" s="49"/>
      <c r="W30" s="49"/>
      <c r="AA30" s="48"/>
      <c r="AB30" s="1"/>
      <c r="AC30" s="49"/>
      <c r="AD30" s="1"/>
      <c r="AV30" s="259"/>
      <c r="AW30" s="213"/>
      <c r="AX30" s="214"/>
    </row>
    <row r="31" spans="1:50" ht="51.75" customHeight="1" x14ac:dyDescent="0.25">
      <c r="R31" s="48"/>
      <c r="T31" s="49"/>
      <c r="W31" s="49"/>
      <c r="AA31" s="48"/>
      <c r="AB31" s="1"/>
      <c r="AC31" s="49"/>
      <c r="AD31" s="1"/>
      <c r="AV31" s="259"/>
      <c r="AW31" s="213"/>
      <c r="AX31" s="214"/>
    </row>
    <row r="32" spans="1:50" ht="51.75" customHeight="1" x14ac:dyDescent="0.25">
      <c r="R32" s="48"/>
      <c r="T32" s="49"/>
      <c r="W32" s="49"/>
      <c r="AA32" s="48"/>
      <c r="AB32" s="1"/>
      <c r="AC32" s="49"/>
      <c r="AD32" s="1"/>
      <c r="AV32" s="259"/>
      <c r="AW32" s="213"/>
      <c r="AX32" s="214"/>
    </row>
    <row r="33" spans="18:50" ht="51.75" customHeight="1" x14ac:dyDescent="0.25">
      <c r="R33" s="48"/>
      <c r="T33" s="49"/>
      <c r="W33" s="49"/>
      <c r="AA33" s="48"/>
      <c r="AB33" s="1"/>
      <c r="AC33" s="49"/>
      <c r="AD33" s="1"/>
      <c r="AV33" s="259"/>
      <c r="AW33" s="213"/>
      <c r="AX33" s="214"/>
    </row>
    <row r="34" spans="18:50" ht="51.75" customHeight="1" x14ac:dyDescent="0.25">
      <c r="R34" s="48"/>
      <c r="T34" s="49"/>
      <c r="W34" s="49"/>
      <c r="AA34" s="48"/>
      <c r="AB34" s="1"/>
      <c r="AC34" s="49"/>
      <c r="AD34" s="1"/>
      <c r="AV34" s="259"/>
      <c r="AW34" s="213"/>
      <c r="AX34" s="214"/>
    </row>
    <row r="35" spans="18:50" ht="51.75" customHeight="1" x14ac:dyDescent="0.25">
      <c r="R35" s="48"/>
      <c r="T35" s="49"/>
      <c r="W35" s="49"/>
      <c r="AA35" s="48"/>
      <c r="AB35" s="1"/>
      <c r="AC35" s="49"/>
      <c r="AD35" s="1"/>
      <c r="AV35" s="259"/>
      <c r="AW35" s="213"/>
      <c r="AX35" s="214"/>
    </row>
    <row r="36" spans="18:50" ht="51.75" customHeight="1" x14ac:dyDescent="0.25">
      <c r="R36" s="48"/>
      <c r="T36" s="49"/>
      <c r="W36" s="49"/>
      <c r="AA36" s="48"/>
      <c r="AB36" s="1"/>
      <c r="AC36" s="49"/>
      <c r="AD36" s="1"/>
      <c r="AV36" s="259"/>
      <c r="AW36" s="213"/>
      <c r="AX36" s="214"/>
    </row>
    <row r="37" spans="18:50" ht="51.75" customHeight="1" x14ac:dyDescent="0.25">
      <c r="R37" s="48"/>
      <c r="T37" s="49"/>
      <c r="W37" s="49"/>
      <c r="AA37" s="48"/>
      <c r="AB37" s="1"/>
      <c r="AC37" s="49"/>
      <c r="AD37" s="1"/>
      <c r="AV37" s="259"/>
      <c r="AW37" s="213"/>
      <c r="AX37" s="214"/>
    </row>
    <row r="38" spans="18:50" ht="51.75" customHeight="1" x14ac:dyDescent="0.25">
      <c r="R38" s="48"/>
      <c r="T38" s="49"/>
      <c r="W38" s="49"/>
      <c r="AA38" s="48"/>
      <c r="AB38" s="1"/>
      <c r="AC38" s="49"/>
      <c r="AD38" s="1"/>
      <c r="AV38" s="259"/>
      <c r="AW38" s="213"/>
      <c r="AX38" s="214"/>
    </row>
    <row r="39" spans="18:50" ht="51.75" customHeight="1" x14ac:dyDescent="0.25">
      <c r="R39" s="48"/>
      <c r="T39" s="49"/>
      <c r="W39" s="49"/>
      <c r="AA39" s="48"/>
      <c r="AB39" s="1"/>
      <c r="AC39" s="49"/>
      <c r="AD39" s="1"/>
      <c r="AV39" s="259"/>
      <c r="AW39" s="213"/>
      <c r="AX39" s="214"/>
    </row>
    <row r="40" spans="18:50" ht="51.75" customHeight="1" x14ac:dyDescent="0.25">
      <c r="R40" s="48"/>
      <c r="T40" s="49"/>
      <c r="W40" s="49"/>
      <c r="AA40" s="48"/>
      <c r="AB40" s="1"/>
      <c r="AC40" s="49"/>
      <c r="AD40" s="1"/>
      <c r="AV40" s="259"/>
      <c r="AW40" s="213"/>
      <c r="AX40" s="214"/>
    </row>
    <row r="41" spans="18:50" ht="51.75" customHeight="1" x14ac:dyDescent="0.25">
      <c r="R41" s="48"/>
      <c r="T41" s="49"/>
      <c r="W41" s="49"/>
      <c r="AA41" s="48"/>
      <c r="AB41" s="1"/>
      <c r="AC41" s="49"/>
      <c r="AD41" s="1"/>
      <c r="AV41" s="259"/>
      <c r="AW41" s="213"/>
      <c r="AX41" s="214"/>
    </row>
    <row r="42" spans="18:50" ht="51.75" customHeight="1" x14ac:dyDescent="0.25">
      <c r="R42" s="48"/>
      <c r="T42" s="49"/>
      <c r="W42" s="49"/>
      <c r="AA42" s="48"/>
      <c r="AB42" s="1"/>
      <c r="AC42" s="49"/>
      <c r="AD42" s="1"/>
      <c r="AV42" s="259"/>
      <c r="AW42" s="213"/>
      <c r="AX42" s="214"/>
    </row>
    <row r="43" spans="18:50" ht="51.75" customHeight="1" x14ac:dyDescent="0.25">
      <c r="R43" s="48"/>
      <c r="T43" s="49"/>
      <c r="W43" s="49"/>
      <c r="AA43" s="48"/>
      <c r="AB43" s="1"/>
      <c r="AC43" s="49"/>
      <c r="AD43" s="1"/>
      <c r="AV43" s="259"/>
      <c r="AW43" s="213"/>
      <c r="AX43" s="214"/>
    </row>
    <row r="44" spans="18:50" ht="51.75" customHeight="1" x14ac:dyDescent="0.25">
      <c r="R44" s="48"/>
      <c r="T44" s="49"/>
      <c r="W44" s="49"/>
      <c r="AA44" s="48"/>
      <c r="AB44" s="1"/>
      <c r="AC44" s="49"/>
      <c r="AD44" s="1"/>
      <c r="AV44" s="259"/>
      <c r="AW44" s="213"/>
      <c r="AX44" s="214"/>
    </row>
    <row r="45" spans="18:50" ht="51.75" customHeight="1" x14ac:dyDescent="0.25">
      <c r="R45" s="48"/>
      <c r="T45" s="49"/>
      <c r="W45" s="49"/>
      <c r="AA45" s="48"/>
      <c r="AB45" s="1"/>
      <c r="AC45" s="49"/>
      <c r="AD45" s="1"/>
      <c r="AV45" s="259"/>
      <c r="AW45" s="213"/>
      <c r="AX45" s="214"/>
    </row>
    <row r="46" spans="18:50" ht="51.75" customHeight="1" x14ac:dyDescent="0.25">
      <c r="R46" s="48"/>
      <c r="T46" s="49"/>
      <c r="W46" s="49"/>
      <c r="AA46" s="48"/>
      <c r="AB46" s="1"/>
      <c r="AC46" s="49"/>
      <c r="AD46" s="1"/>
      <c r="AV46" s="259"/>
      <c r="AW46" s="213"/>
      <c r="AX46" s="214"/>
    </row>
    <row r="47" spans="18:50" ht="51.75" customHeight="1" x14ac:dyDescent="0.25">
      <c r="R47" s="48"/>
      <c r="T47" s="49"/>
      <c r="W47" s="49"/>
      <c r="AA47" s="48"/>
      <c r="AB47" s="1"/>
      <c r="AC47" s="49"/>
      <c r="AD47" s="1"/>
      <c r="AV47" s="259"/>
      <c r="AW47" s="213"/>
      <c r="AX47" s="214"/>
    </row>
    <row r="48" spans="18:50" ht="51.75" customHeight="1" x14ac:dyDescent="0.25">
      <c r="R48" s="48"/>
      <c r="T48" s="49"/>
      <c r="W48" s="49"/>
      <c r="AA48" s="48"/>
      <c r="AB48" s="1"/>
      <c r="AC48" s="49"/>
      <c r="AD48" s="1"/>
      <c r="AV48" s="259"/>
      <c r="AW48" s="213"/>
      <c r="AX48" s="214"/>
    </row>
    <row r="49" spans="18:50" ht="51.75" customHeight="1" x14ac:dyDescent="0.25">
      <c r="R49" s="48"/>
      <c r="T49" s="49"/>
      <c r="W49" s="49"/>
      <c r="AA49" s="48"/>
      <c r="AB49" s="1"/>
      <c r="AC49" s="49"/>
      <c r="AD49" s="1"/>
      <c r="AV49" s="259"/>
      <c r="AW49" s="213"/>
      <c r="AX49" s="214"/>
    </row>
    <row r="50" spans="18:50" ht="51.75" customHeight="1" x14ac:dyDescent="0.25">
      <c r="R50" s="48"/>
      <c r="T50" s="49"/>
      <c r="W50" s="49"/>
      <c r="AA50" s="48"/>
      <c r="AB50" s="1"/>
      <c r="AC50" s="49"/>
      <c r="AD50" s="1"/>
      <c r="AV50" s="259"/>
      <c r="AW50" s="213"/>
      <c r="AX50" s="214"/>
    </row>
    <row r="51" spans="18:50" ht="51.75" customHeight="1" x14ac:dyDescent="0.25">
      <c r="R51" s="48"/>
      <c r="T51" s="49"/>
      <c r="W51" s="49"/>
      <c r="AA51" s="48"/>
      <c r="AB51" s="1"/>
      <c r="AC51" s="49"/>
      <c r="AD51" s="1"/>
      <c r="AV51" s="259"/>
      <c r="AW51" s="213"/>
      <c r="AX51" s="214"/>
    </row>
    <row r="52" spans="18:50" ht="51.75" customHeight="1" x14ac:dyDescent="0.25">
      <c r="R52" s="48"/>
      <c r="T52" s="49"/>
      <c r="W52" s="49"/>
      <c r="AA52" s="48"/>
      <c r="AB52" s="1"/>
      <c r="AC52" s="49"/>
      <c r="AD52" s="1"/>
      <c r="AV52" s="259"/>
      <c r="AW52" s="213"/>
      <c r="AX52" s="214"/>
    </row>
    <row r="53" spans="18:50" ht="51.75" customHeight="1" x14ac:dyDescent="0.25">
      <c r="R53" s="48"/>
      <c r="T53" s="49"/>
      <c r="W53" s="49"/>
      <c r="AA53" s="48"/>
      <c r="AB53" s="1"/>
      <c r="AC53" s="49"/>
      <c r="AD53" s="1"/>
      <c r="AV53" s="259"/>
      <c r="AW53" s="213"/>
      <c r="AX53" s="214"/>
    </row>
    <row r="54" spans="18:50" ht="51.75" customHeight="1" x14ac:dyDescent="0.25">
      <c r="R54" s="48"/>
      <c r="T54" s="49"/>
      <c r="W54" s="49"/>
      <c r="AA54" s="48"/>
      <c r="AB54" s="1"/>
      <c r="AC54" s="49"/>
      <c r="AD54" s="1"/>
      <c r="AV54" s="259"/>
      <c r="AW54" s="213"/>
      <c r="AX54" s="214"/>
    </row>
    <row r="55" spans="18:50" ht="51.75" customHeight="1" x14ac:dyDescent="0.25">
      <c r="R55" s="48"/>
      <c r="T55" s="49"/>
      <c r="W55" s="49"/>
      <c r="AA55" s="48"/>
      <c r="AB55" s="1"/>
      <c r="AC55" s="49"/>
      <c r="AD55" s="1"/>
      <c r="AV55" s="259"/>
      <c r="AW55" s="213"/>
      <c r="AX55" s="214"/>
    </row>
    <row r="56" spans="18:50" ht="51.75" customHeight="1" x14ac:dyDescent="0.25">
      <c r="R56" s="48"/>
      <c r="T56" s="49"/>
      <c r="W56" s="49"/>
      <c r="AA56" s="48"/>
      <c r="AB56" s="1"/>
      <c r="AC56" s="49"/>
      <c r="AD56" s="1"/>
      <c r="AV56" s="259"/>
      <c r="AW56" s="213"/>
      <c r="AX56" s="214"/>
    </row>
    <row r="57" spans="18:50" ht="51.75" customHeight="1" x14ac:dyDescent="0.25">
      <c r="R57" s="48"/>
      <c r="T57" s="49"/>
      <c r="W57" s="49"/>
      <c r="AA57" s="48"/>
      <c r="AB57" s="1"/>
      <c r="AC57" s="49"/>
      <c r="AD57" s="1"/>
      <c r="AV57" s="259"/>
      <c r="AW57" s="213"/>
      <c r="AX57" s="214"/>
    </row>
    <row r="58" spans="18:50" ht="51.75" customHeight="1" x14ac:dyDescent="0.25">
      <c r="R58" s="48"/>
      <c r="T58" s="49"/>
      <c r="W58" s="49"/>
      <c r="AA58" s="48"/>
      <c r="AB58" s="1"/>
      <c r="AC58" s="49"/>
      <c r="AD58" s="1"/>
      <c r="AV58" s="259"/>
      <c r="AW58" s="213"/>
      <c r="AX58" s="214"/>
    </row>
    <row r="59" spans="18:50" ht="51.75" customHeight="1" x14ac:dyDescent="0.25">
      <c r="R59" s="48"/>
      <c r="T59" s="49"/>
      <c r="W59" s="49"/>
      <c r="AA59" s="48"/>
      <c r="AB59" s="1"/>
      <c r="AC59" s="49"/>
      <c r="AD59" s="1"/>
      <c r="AV59" s="259"/>
      <c r="AW59" s="213"/>
      <c r="AX59" s="214"/>
    </row>
    <row r="60" spans="18:50" ht="51.75" customHeight="1" x14ac:dyDescent="0.25">
      <c r="R60" s="48"/>
      <c r="T60" s="49"/>
      <c r="W60" s="49"/>
      <c r="AA60" s="48"/>
      <c r="AB60" s="1"/>
      <c r="AC60" s="49"/>
      <c r="AD60" s="1"/>
      <c r="AV60" s="259"/>
      <c r="AW60" s="213"/>
      <c r="AX60" s="214"/>
    </row>
    <row r="61" spans="18:50" ht="51.75" customHeight="1" x14ac:dyDescent="0.25">
      <c r="R61" s="48"/>
      <c r="T61" s="49"/>
      <c r="W61" s="49"/>
      <c r="AA61" s="48"/>
      <c r="AB61" s="1"/>
      <c r="AC61" s="49"/>
      <c r="AD61" s="1"/>
      <c r="AV61" s="259"/>
      <c r="AW61" s="213"/>
      <c r="AX61" s="214"/>
    </row>
    <row r="62" spans="18:50" ht="51.75" customHeight="1" x14ac:dyDescent="0.25">
      <c r="R62" s="48"/>
      <c r="T62" s="49"/>
      <c r="W62" s="49"/>
      <c r="AA62" s="48"/>
      <c r="AB62" s="1"/>
      <c r="AC62" s="49"/>
      <c r="AD62" s="1"/>
      <c r="AV62" s="259"/>
      <c r="AW62" s="213"/>
      <c r="AX62" s="214"/>
    </row>
    <row r="63" spans="18:50" ht="51.75" customHeight="1" x14ac:dyDescent="0.25">
      <c r="R63" s="48"/>
      <c r="T63" s="49"/>
      <c r="W63" s="49"/>
      <c r="AA63" s="48"/>
      <c r="AB63" s="1"/>
      <c r="AC63" s="49"/>
      <c r="AD63" s="1"/>
      <c r="AV63" s="259"/>
      <c r="AW63" s="213"/>
      <c r="AX63" s="214"/>
    </row>
    <row r="64" spans="18:50" ht="51.75" customHeight="1" x14ac:dyDescent="0.25">
      <c r="R64" s="48"/>
      <c r="T64" s="49"/>
      <c r="W64" s="49"/>
      <c r="AA64" s="48"/>
      <c r="AB64" s="1"/>
      <c r="AC64" s="49"/>
      <c r="AD64" s="1"/>
      <c r="AV64" s="259"/>
      <c r="AW64" s="213"/>
      <c r="AX64" s="214"/>
    </row>
    <row r="65" spans="18:50" ht="51.75" customHeight="1" x14ac:dyDescent="0.25">
      <c r="R65" s="48"/>
      <c r="T65" s="49"/>
      <c r="W65" s="49"/>
      <c r="AA65" s="48"/>
      <c r="AB65" s="1"/>
      <c r="AC65" s="49"/>
      <c r="AD65" s="1"/>
      <c r="AV65" s="259"/>
      <c r="AW65" s="213"/>
      <c r="AX65" s="214"/>
    </row>
    <row r="66" spans="18:50" ht="51.75" customHeight="1" x14ac:dyDescent="0.25">
      <c r="R66" s="48"/>
      <c r="T66" s="49"/>
      <c r="W66" s="49"/>
      <c r="AA66" s="48"/>
      <c r="AB66" s="1"/>
      <c r="AC66" s="49"/>
      <c r="AD66" s="1"/>
      <c r="AV66" s="259"/>
      <c r="AW66" s="213"/>
      <c r="AX66" s="214"/>
    </row>
    <row r="67" spans="18:50" ht="51.75" customHeight="1" x14ac:dyDescent="0.25">
      <c r="R67" s="48"/>
      <c r="T67" s="49"/>
      <c r="W67" s="49"/>
      <c r="AA67" s="48"/>
      <c r="AB67" s="1"/>
      <c r="AC67" s="49"/>
      <c r="AD67" s="1"/>
      <c r="AV67" s="259"/>
      <c r="AW67" s="213"/>
      <c r="AX67" s="214"/>
    </row>
    <row r="68" spans="18:50" ht="51.75" customHeight="1" x14ac:dyDescent="0.25">
      <c r="R68" s="48"/>
      <c r="T68" s="49"/>
      <c r="W68" s="49"/>
      <c r="AA68" s="48"/>
      <c r="AB68" s="1"/>
      <c r="AC68" s="49"/>
      <c r="AD68" s="1"/>
      <c r="AV68" s="259"/>
      <c r="AW68" s="213"/>
      <c r="AX68" s="214"/>
    </row>
    <row r="69" spans="18:50" ht="51.75" customHeight="1" x14ac:dyDescent="0.25">
      <c r="R69" s="48"/>
      <c r="T69" s="49"/>
      <c r="W69" s="49"/>
      <c r="AA69" s="48"/>
      <c r="AB69" s="1"/>
      <c r="AC69" s="49"/>
      <c r="AD69" s="1"/>
      <c r="AV69" s="259"/>
      <c r="AW69" s="213"/>
      <c r="AX69" s="214"/>
    </row>
    <row r="70" spans="18:50" ht="51.75" customHeight="1" x14ac:dyDescent="0.25">
      <c r="R70" s="48"/>
      <c r="T70" s="49"/>
      <c r="W70" s="49"/>
      <c r="AA70" s="48"/>
      <c r="AB70" s="1"/>
      <c r="AC70" s="49"/>
      <c r="AD70" s="1"/>
      <c r="AV70" s="259"/>
      <c r="AW70" s="213"/>
      <c r="AX70" s="214"/>
    </row>
    <row r="71" spans="18:50" ht="51.75" customHeight="1" x14ac:dyDescent="0.25">
      <c r="R71" s="48"/>
      <c r="T71" s="49"/>
      <c r="W71" s="49"/>
      <c r="AA71" s="48"/>
      <c r="AB71" s="1"/>
      <c r="AC71" s="49"/>
      <c r="AD71" s="1"/>
      <c r="AV71" s="259"/>
      <c r="AW71" s="213"/>
      <c r="AX71" s="214"/>
    </row>
    <row r="72" spans="18:50" ht="51.75" customHeight="1" x14ac:dyDescent="0.25">
      <c r="R72" s="48"/>
      <c r="T72" s="49"/>
      <c r="W72" s="49"/>
      <c r="AA72" s="48"/>
      <c r="AB72" s="1"/>
      <c r="AC72" s="49"/>
      <c r="AD72" s="1"/>
      <c r="AV72" s="259"/>
      <c r="AW72" s="213"/>
      <c r="AX72" s="214"/>
    </row>
    <row r="73" spans="18:50" ht="51.75" customHeight="1" x14ac:dyDescent="0.25">
      <c r="R73" s="48"/>
      <c r="T73" s="49"/>
      <c r="W73" s="49"/>
      <c r="AA73" s="48"/>
      <c r="AB73" s="1"/>
      <c r="AC73" s="49"/>
      <c r="AD73" s="1"/>
      <c r="AV73" s="259"/>
      <c r="AW73" s="213"/>
      <c r="AX73" s="214"/>
    </row>
    <row r="74" spans="18:50" ht="51.75" customHeight="1" x14ac:dyDescent="0.25">
      <c r="R74" s="48"/>
      <c r="T74" s="49"/>
      <c r="W74" s="49"/>
      <c r="AA74" s="48"/>
      <c r="AB74" s="1"/>
      <c r="AC74" s="49"/>
      <c r="AD74" s="1"/>
      <c r="AV74" s="259"/>
      <c r="AW74" s="213"/>
      <c r="AX74" s="214"/>
    </row>
    <row r="75" spans="18:50" ht="51.75" customHeight="1" x14ac:dyDescent="0.25">
      <c r="R75" s="48"/>
      <c r="T75" s="49"/>
      <c r="W75" s="49"/>
      <c r="AA75" s="48"/>
      <c r="AB75" s="1"/>
      <c r="AC75" s="49"/>
      <c r="AD75" s="1"/>
      <c r="AV75" s="259"/>
      <c r="AW75" s="213"/>
      <c r="AX75" s="214"/>
    </row>
    <row r="76" spans="18:50" ht="51.75" customHeight="1" x14ac:dyDescent="0.25">
      <c r="R76" s="48"/>
      <c r="T76" s="49"/>
      <c r="W76" s="49"/>
      <c r="AA76" s="48"/>
      <c r="AB76" s="1"/>
      <c r="AC76" s="49"/>
      <c r="AD76" s="1"/>
      <c r="AV76" s="259"/>
      <c r="AW76" s="213"/>
      <c r="AX76" s="214"/>
    </row>
    <row r="77" spans="18:50" ht="51.75" customHeight="1" x14ac:dyDescent="0.25">
      <c r="R77" s="48"/>
      <c r="T77" s="49"/>
      <c r="W77" s="49"/>
      <c r="AA77" s="48"/>
      <c r="AB77" s="1"/>
      <c r="AC77" s="49"/>
      <c r="AD77" s="1"/>
      <c r="AV77" s="259"/>
      <c r="AW77" s="213"/>
      <c r="AX77" s="214"/>
    </row>
    <row r="78" spans="18:50" ht="51.75" customHeight="1" x14ac:dyDescent="0.25">
      <c r="R78" s="48"/>
      <c r="T78" s="49"/>
      <c r="W78" s="49"/>
      <c r="AA78" s="48"/>
      <c r="AB78" s="1"/>
      <c r="AC78" s="49"/>
      <c r="AD78" s="1"/>
      <c r="AV78" s="259"/>
      <c r="AW78" s="213"/>
      <c r="AX78" s="214"/>
    </row>
    <row r="79" spans="18:50" ht="51.75" customHeight="1" x14ac:dyDescent="0.25">
      <c r="R79" s="48"/>
      <c r="T79" s="49"/>
      <c r="W79" s="49"/>
      <c r="AA79" s="48"/>
      <c r="AB79" s="1"/>
      <c r="AC79" s="49"/>
      <c r="AD79" s="1"/>
      <c r="AV79" s="259"/>
      <c r="AW79" s="213"/>
      <c r="AX79" s="214"/>
    </row>
    <row r="80" spans="18:50" ht="51.75" customHeight="1" x14ac:dyDescent="0.25">
      <c r="R80" s="48"/>
      <c r="T80" s="49"/>
      <c r="W80" s="49"/>
      <c r="AA80" s="48"/>
      <c r="AB80" s="1"/>
      <c r="AC80" s="49"/>
      <c r="AD80" s="1"/>
      <c r="AV80" s="259"/>
      <c r="AW80" s="213"/>
      <c r="AX80" s="214"/>
    </row>
    <row r="81" spans="18:50" ht="51.75" customHeight="1" x14ac:dyDescent="0.25">
      <c r="R81" s="48"/>
      <c r="T81" s="49"/>
      <c r="W81" s="49"/>
      <c r="AA81" s="48"/>
      <c r="AB81" s="1"/>
      <c r="AC81" s="49"/>
      <c r="AD81" s="1"/>
      <c r="AV81" s="259"/>
      <c r="AW81" s="213"/>
      <c r="AX81" s="214"/>
    </row>
    <row r="82" spans="18:50" ht="51.75" customHeight="1" x14ac:dyDescent="0.25">
      <c r="R82" s="48"/>
      <c r="T82" s="49"/>
      <c r="W82" s="49"/>
      <c r="AA82" s="48"/>
      <c r="AB82" s="1"/>
      <c r="AC82" s="49"/>
      <c r="AD82" s="1"/>
      <c r="AV82" s="259"/>
      <c r="AW82" s="213"/>
      <c r="AX82" s="214"/>
    </row>
    <row r="83" spans="18:50" ht="51.75" customHeight="1" x14ac:dyDescent="0.25">
      <c r="R83" s="48"/>
      <c r="T83" s="49"/>
      <c r="W83" s="49"/>
      <c r="AA83" s="48"/>
      <c r="AB83" s="1"/>
      <c r="AC83" s="49"/>
      <c r="AD83" s="1"/>
      <c r="AV83" s="259"/>
      <c r="AW83" s="213"/>
      <c r="AX83" s="214"/>
    </row>
    <row r="84" spans="18:50" ht="51.75" customHeight="1" x14ac:dyDescent="0.25">
      <c r="R84" s="48"/>
      <c r="T84" s="49"/>
      <c r="W84" s="49"/>
      <c r="AA84" s="48"/>
      <c r="AB84" s="1"/>
      <c r="AC84" s="49"/>
      <c r="AD84" s="1"/>
      <c r="AV84" s="259"/>
      <c r="AW84" s="213"/>
      <c r="AX84" s="214"/>
    </row>
    <row r="85" spans="18:50" ht="51.75" customHeight="1" x14ac:dyDescent="0.25">
      <c r="R85" s="48"/>
      <c r="T85" s="49"/>
      <c r="W85" s="49"/>
      <c r="AA85" s="48"/>
      <c r="AB85" s="1"/>
      <c r="AC85" s="49"/>
      <c r="AD85" s="1"/>
      <c r="AV85" s="259"/>
      <c r="AW85" s="213"/>
      <c r="AX85" s="214"/>
    </row>
    <row r="86" spans="18:50" ht="51.75" customHeight="1" x14ac:dyDescent="0.25">
      <c r="R86" s="48"/>
      <c r="T86" s="49"/>
      <c r="W86" s="49"/>
      <c r="AA86" s="48"/>
      <c r="AB86" s="1"/>
      <c r="AC86" s="49"/>
      <c r="AD86" s="1"/>
      <c r="AV86" s="259"/>
      <c r="AW86" s="213"/>
      <c r="AX86" s="214"/>
    </row>
    <row r="87" spans="18:50" ht="51.75" customHeight="1" x14ac:dyDescent="0.25">
      <c r="R87" s="48"/>
      <c r="T87" s="49"/>
      <c r="W87" s="49"/>
      <c r="AA87" s="48"/>
      <c r="AB87" s="1"/>
      <c r="AC87" s="49"/>
      <c r="AD87" s="1"/>
      <c r="AV87" s="259"/>
      <c r="AW87" s="213"/>
      <c r="AX87" s="214"/>
    </row>
    <row r="88" spans="18:50" ht="51.75" customHeight="1" x14ac:dyDescent="0.25">
      <c r="R88" s="48"/>
      <c r="T88" s="49"/>
      <c r="W88" s="49"/>
      <c r="AA88" s="48"/>
      <c r="AB88" s="1"/>
      <c r="AC88" s="49"/>
      <c r="AD88" s="1"/>
      <c r="AV88" s="259"/>
      <c r="AW88" s="213"/>
      <c r="AX88" s="214"/>
    </row>
    <row r="89" spans="18:50" ht="51.75" customHeight="1" x14ac:dyDescent="0.25">
      <c r="R89" s="48"/>
      <c r="T89" s="49"/>
      <c r="W89" s="49"/>
      <c r="AA89" s="48"/>
      <c r="AB89" s="1"/>
      <c r="AC89" s="49"/>
      <c r="AD89" s="1"/>
      <c r="AV89" s="259"/>
      <c r="AW89" s="213"/>
      <c r="AX89" s="214"/>
    </row>
    <row r="90" spans="18:50" ht="51.75" customHeight="1" x14ac:dyDescent="0.25">
      <c r="R90" s="48"/>
      <c r="T90" s="49"/>
      <c r="W90" s="49"/>
      <c r="AA90" s="48"/>
      <c r="AB90" s="1"/>
      <c r="AC90" s="49"/>
      <c r="AD90" s="1"/>
      <c r="AV90" s="259"/>
      <c r="AW90" s="213"/>
      <c r="AX90" s="214"/>
    </row>
    <row r="91" spans="18:50" ht="51.75" customHeight="1" x14ac:dyDescent="0.25">
      <c r="R91" s="48"/>
      <c r="T91" s="49"/>
      <c r="W91" s="49"/>
      <c r="AA91" s="48"/>
      <c r="AB91" s="1"/>
      <c r="AC91" s="49"/>
      <c r="AD91" s="1"/>
      <c r="AV91" s="259"/>
      <c r="AW91" s="213"/>
      <c r="AX91" s="214"/>
    </row>
    <row r="92" spans="18:50" ht="51.75" customHeight="1" x14ac:dyDescent="0.25">
      <c r="R92" s="48"/>
      <c r="T92" s="49"/>
      <c r="W92" s="49"/>
      <c r="AA92" s="48"/>
      <c r="AB92" s="1"/>
      <c r="AC92" s="49"/>
      <c r="AD92" s="1"/>
      <c r="AV92" s="259"/>
      <c r="AW92" s="213"/>
      <c r="AX92" s="214"/>
    </row>
    <row r="93" spans="18:50" ht="51.75" customHeight="1" x14ac:dyDescent="0.25">
      <c r="R93" s="48"/>
      <c r="T93" s="49"/>
      <c r="W93" s="49"/>
      <c r="AA93" s="48"/>
      <c r="AB93" s="1"/>
      <c r="AC93" s="49"/>
      <c r="AD93" s="1"/>
      <c r="AV93" s="259"/>
      <c r="AW93" s="213"/>
      <c r="AX93" s="214"/>
    </row>
    <row r="94" spans="18:50" ht="51.75" customHeight="1" x14ac:dyDescent="0.25">
      <c r="R94" s="48"/>
      <c r="T94" s="49"/>
      <c r="W94" s="49"/>
      <c r="AA94" s="48"/>
      <c r="AB94" s="1"/>
      <c r="AC94" s="49"/>
      <c r="AD94" s="1"/>
      <c r="AV94" s="259"/>
      <c r="AW94" s="213"/>
      <c r="AX94" s="214"/>
    </row>
    <row r="95" spans="18:50" ht="51.75" customHeight="1" x14ac:dyDescent="0.25">
      <c r="R95" s="48"/>
      <c r="T95" s="49"/>
      <c r="W95" s="49"/>
      <c r="AA95" s="48"/>
      <c r="AB95" s="1"/>
      <c r="AC95" s="49"/>
      <c r="AD95" s="1"/>
      <c r="AV95" s="259"/>
      <c r="AW95" s="213"/>
      <c r="AX95" s="214"/>
    </row>
    <row r="96" spans="18:50" ht="51.75" customHeight="1" x14ac:dyDescent="0.25">
      <c r="R96" s="48"/>
      <c r="T96" s="49"/>
      <c r="W96" s="49"/>
      <c r="AA96" s="48"/>
      <c r="AB96" s="1"/>
      <c r="AC96" s="49"/>
      <c r="AD96" s="1"/>
      <c r="AV96" s="259"/>
      <c r="AW96" s="213"/>
      <c r="AX96" s="214"/>
    </row>
    <row r="97" spans="18:50" ht="51.75" customHeight="1" x14ac:dyDescent="0.25">
      <c r="R97" s="48"/>
      <c r="T97" s="49"/>
      <c r="W97" s="49"/>
      <c r="AA97" s="48"/>
      <c r="AB97" s="1"/>
      <c r="AC97" s="49"/>
      <c r="AD97" s="1"/>
      <c r="AV97" s="259"/>
      <c r="AW97" s="213"/>
      <c r="AX97" s="214"/>
    </row>
    <row r="98" spans="18:50" ht="51.75" customHeight="1" x14ac:dyDescent="0.25">
      <c r="R98" s="48"/>
      <c r="T98" s="49"/>
      <c r="W98" s="49"/>
      <c r="AA98" s="48"/>
      <c r="AB98" s="1"/>
      <c r="AC98" s="49"/>
      <c r="AD98" s="1"/>
      <c r="AV98" s="259"/>
      <c r="AW98" s="213"/>
      <c r="AX98" s="214"/>
    </row>
    <row r="99" spans="18:50" ht="51.75" customHeight="1" x14ac:dyDescent="0.25">
      <c r="R99" s="48"/>
      <c r="T99" s="49"/>
      <c r="W99" s="49"/>
      <c r="AA99" s="48"/>
      <c r="AB99" s="1"/>
      <c r="AC99" s="49"/>
      <c r="AD99" s="1"/>
      <c r="AV99" s="259"/>
      <c r="AW99" s="213"/>
      <c r="AX99" s="214"/>
    </row>
    <row r="100" spans="18:50" ht="51.75" customHeight="1" x14ac:dyDescent="0.25">
      <c r="R100" s="48"/>
      <c r="T100" s="49"/>
      <c r="W100" s="49"/>
      <c r="AA100" s="48"/>
      <c r="AB100" s="1"/>
      <c r="AC100" s="49"/>
      <c r="AD100" s="1"/>
      <c r="AV100" s="259"/>
      <c r="AW100" s="213"/>
      <c r="AX100" s="214"/>
    </row>
    <row r="101" spans="18:50" ht="51.75" customHeight="1" x14ac:dyDescent="0.25">
      <c r="R101" s="48"/>
      <c r="T101" s="49"/>
      <c r="W101" s="49"/>
      <c r="AA101" s="48"/>
      <c r="AB101" s="1"/>
      <c r="AC101" s="49"/>
      <c r="AD101" s="1"/>
      <c r="AV101" s="259"/>
      <c r="AW101" s="213"/>
      <c r="AX101" s="214"/>
    </row>
    <row r="102" spans="18:50" ht="51.75" customHeight="1" x14ac:dyDescent="0.25">
      <c r="R102" s="48"/>
      <c r="T102" s="49"/>
      <c r="W102" s="49"/>
      <c r="AA102" s="48"/>
      <c r="AB102" s="1"/>
      <c r="AC102" s="49"/>
      <c r="AD102" s="1"/>
      <c r="AV102" s="259"/>
      <c r="AW102" s="213"/>
      <c r="AX102" s="214"/>
    </row>
    <row r="103" spans="18:50" ht="51.75" customHeight="1" x14ac:dyDescent="0.25">
      <c r="R103" s="48"/>
      <c r="T103" s="49"/>
      <c r="W103" s="49"/>
      <c r="AA103" s="48"/>
      <c r="AB103" s="1"/>
      <c r="AC103" s="49"/>
      <c r="AD103" s="1"/>
      <c r="AV103" s="259"/>
      <c r="AW103" s="213"/>
      <c r="AX103" s="214"/>
    </row>
    <row r="104" spans="18:50" ht="51.75" customHeight="1" x14ac:dyDescent="0.25">
      <c r="R104" s="48"/>
      <c r="T104" s="49"/>
      <c r="W104" s="49"/>
      <c r="AA104" s="48"/>
      <c r="AB104" s="1"/>
      <c r="AC104" s="49"/>
      <c r="AD104" s="1"/>
      <c r="AV104" s="259"/>
      <c r="AW104" s="213"/>
      <c r="AX104" s="214"/>
    </row>
    <row r="105" spans="18:50" ht="51.75" customHeight="1" x14ac:dyDescent="0.25">
      <c r="R105" s="48"/>
      <c r="T105" s="49"/>
      <c r="W105" s="49"/>
      <c r="AA105" s="48"/>
      <c r="AB105" s="1"/>
      <c r="AC105" s="49"/>
      <c r="AD105" s="1"/>
      <c r="AV105" s="259"/>
      <c r="AW105" s="213"/>
      <c r="AX105" s="214"/>
    </row>
    <row r="106" spans="18:50" ht="51.75" customHeight="1" thickBot="1" x14ac:dyDescent="0.3">
      <c r="R106" s="48"/>
      <c r="T106" s="49"/>
      <c r="U106" s="218"/>
      <c r="V106" s="219"/>
      <c r="W106" s="220"/>
      <c r="X106" s="218"/>
      <c r="Y106" s="219"/>
      <c r="Z106" s="220"/>
      <c r="AA106" s="218"/>
      <c r="AB106" s="219"/>
      <c r="AC106" s="220"/>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S5:AU5"/>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3"/>
  <sheetViews>
    <sheetView showZeros="0" zoomScale="80" zoomScaleNormal="80" workbookViewId="0">
      <pane ySplit="2" topLeftCell="A3" activePane="bottomLeft" state="frozen"/>
      <selection activeCell="B14" sqref="B14"/>
      <selection pane="bottomLeft" activeCell="R18" sqref="R18"/>
    </sheetView>
  </sheetViews>
  <sheetFormatPr defaultRowHeight="15" x14ac:dyDescent="0.25"/>
  <cols>
    <col min="1" max="1" width="2.7109375" style="645" customWidth="1"/>
    <col min="2" max="2" width="15.28515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45"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108" t="s">
        <v>1132</v>
      </c>
      <c r="C2" s="1109"/>
      <c r="D2" s="1109"/>
      <c r="E2" s="1109"/>
      <c r="F2" s="1109"/>
      <c r="G2" s="1109"/>
      <c r="H2" s="1109"/>
      <c r="I2" s="1109"/>
      <c r="J2" s="79"/>
      <c r="K2" s="79"/>
      <c r="L2" s="718"/>
      <c r="M2" s="720"/>
      <c r="N2" s="720"/>
      <c r="O2" s="78"/>
      <c r="P2" s="78"/>
      <c r="Q2" s="78"/>
      <c r="R2" s="78"/>
      <c r="S2" s="78"/>
      <c r="T2" s="78"/>
      <c r="U2" s="78"/>
      <c r="V2" s="78"/>
      <c r="W2" s="78"/>
      <c r="X2" s="78"/>
      <c r="Y2" s="78"/>
      <c r="Z2" s="78"/>
      <c r="AA2" s="78"/>
    </row>
    <row r="3" spans="2:38" s="16" customFormat="1" ht="25.5" customHeight="1" x14ac:dyDescent="0.25">
      <c r="B3" s="1249">
        <f>Report_Date</f>
        <v>43434</v>
      </c>
      <c r="C3" s="1249"/>
      <c r="D3" s="1249"/>
      <c r="E3" s="1249"/>
      <c r="F3" s="1249"/>
      <c r="G3" s="1249"/>
      <c r="H3" s="1249"/>
      <c r="I3" s="1182"/>
      <c r="J3" s="184"/>
      <c r="K3" s="184"/>
      <c r="L3" s="184"/>
      <c r="M3" s="184"/>
      <c r="N3" s="184"/>
      <c r="O3" s="78"/>
      <c r="P3" s="78"/>
      <c r="Q3" s="78"/>
      <c r="R3" s="78"/>
      <c r="S3" s="78"/>
      <c r="T3" s="78"/>
      <c r="U3" s="78"/>
      <c r="V3" s="78"/>
      <c r="W3" s="78"/>
      <c r="X3" s="78"/>
      <c r="Y3" s="78"/>
      <c r="Z3" s="78"/>
      <c r="AA3" s="78"/>
    </row>
    <row r="4" spans="2:38" s="16" customFormat="1" ht="33.75" x14ac:dyDescent="0.25">
      <c r="B4" s="170" t="s">
        <v>745</v>
      </c>
      <c r="C4" s="646" t="s">
        <v>716</v>
      </c>
      <c r="D4" s="792"/>
      <c r="E4" s="792"/>
      <c r="F4" s="792"/>
      <c r="G4" s="792"/>
      <c r="H4" s="792"/>
      <c r="I4" s="792"/>
      <c r="J4" s="79"/>
      <c r="K4" s="79"/>
      <c r="L4" s="79"/>
      <c r="M4" s="79"/>
      <c r="N4" s="79"/>
      <c r="O4" s="645"/>
      <c r="P4" s="645"/>
      <c r="Q4" s="645"/>
      <c r="R4" s="645"/>
      <c r="S4" s="645"/>
      <c r="T4" s="645"/>
      <c r="U4" s="645"/>
      <c r="V4" s="645"/>
      <c r="W4" s="645"/>
      <c r="X4" s="645"/>
      <c r="Y4" s="645"/>
      <c r="Z4" s="645"/>
      <c r="AA4" s="645"/>
    </row>
    <row r="5" spans="2:38" s="16" customFormat="1" ht="19.5" customHeight="1" x14ac:dyDescent="0.25">
      <c r="B5" s="653"/>
      <c r="C5" s="1247" t="s">
        <v>1128</v>
      </c>
      <c r="D5" s="1248"/>
      <c r="E5" s="1248"/>
      <c r="F5" s="1248"/>
      <c r="G5" s="1248"/>
      <c r="H5" s="1248"/>
      <c r="I5" s="1248"/>
      <c r="J5" s="1248"/>
      <c r="K5" s="1248"/>
      <c r="L5" s="1248"/>
      <c r="M5" s="1248"/>
      <c r="N5" s="1248"/>
      <c r="O5" s="645"/>
      <c r="P5" s="645"/>
      <c r="Q5" s="645"/>
      <c r="R5" s="645"/>
      <c r="S5" s="645"/>
      <c r="T5" s="645"/>
      <c r="U5" s="645"/>
      <c r="V5" s="645"/>
      <c r="W5" s="645"/>
      <c r="X5" s="645"/>
      <c r="Y5" s="645"/>
      <c r="Z5" s="645"/>
      <c r="AA5" s="645"/>
    </row>
    <row r="6" spans="2:38" s="877" customFormat="1" x14ac:dyDescent="0.25">
      <c r="B6" s="1084" t="s">
        <v>1</v>
      </c>
      <c r="C6" s="646" t="s">
        <v>1131</v>
      </c>
      <c r="D6" s="646" t="s">
        <v>1093</v>
      </c>
      <c r="E6" s="646" t="s">
        <v>1094</v>
      </c>
      <c r="F6" s="646" t="s">
        <v>1095</v>
      </c>
      <c r="G6" s="646" t="s">
        <v>1096</v>
      </c>
      <c r="H6" s="646" t="s">
        <v>1127</v>
      </c>
      <c r="I6" s="646" t="s">
        <v>1026</v>
      </c>
      <c r="J6" s="646" t="s">
        <v>1025</v>
      </c>
      <c r="K6" s="646" t="s">
        <v>1024</v>
      </c>
      <c r="L6" s="646" t="s">
        <v>1045</v>
      </c>
      <c r="M6" s="646" t="s">
        <v>1122</v>
      </c>
      <c r="N6" s="646" t="s">
        <v>1148</v>
      </c>
      <c r="O6" s="1"/>
      <c r="P6" s="1"/>
      <c r="Q6" s="1"/>
      <c r="R6" s="900"/>
      <c r="S6" s="878"/>
      <c r="T6" s="878"/>
      <c r="U6" s="878"/>
      <c r="V6" s="878"/>
      <c r="W6" s="878"/>
      <c r="X6" s="878"/>
      <c r="Y6" s="878"/>
      <c r="Z6" s="878"/>
      <c r="AA6" s="878"/>
      <c r="AB6" s="878"/>
      <c r="AC6" s="878"/>
      <c r="AD6" s="878"/>
      <c r="AE6" s="878"/>
      <c r="AF6" s="878"/>
    </row>
    <row r="7" spans="2:38" s="16" customFormat="1" x14ac:dyDescent="0.25">
      <c r="B7" s="1083" t="s">
        <v>814</v>
      </c>
      <c r="C7" s="1082">
        <v>0</v>
      </c>
      <c r="D7" s="1082">
        <v>1440</v>
      </c>
      <c r="E7" s="1082">
        <v>0</v>
      </c>
      <c r="F7" s="1082">
        <v>0</v>
      </c>
      <c r="G7" s="1082">
        <v>0</v>
      </c>
      <c r="H7" s="1082">
        <v>0</v>
      </c>
      <c r="I7" s="1082">
        <v>0</v>
      </c>
      <c r="J7" s="1082">
        <v>0</v>
      </c>
      <c r="K7" s="1082">
        <v>0</v>
      </c>
      <c r="L7" s="1082">
        <v>0</v>
      </c>
      <c r="M7" s="1082">
        <v>0</v>
      </c>
      <c r="N7" s="1082">
        <v>0</v>
      </c>
      <c r="O7" s="645"/>
      <c r="P7" s="645"/>
      <c r="Q7" s="645"/>
      <c r="R7" s="645"/>
      <c r="S7" s="645"/>
      <c r="T7" s="645"/>
      <c r="U7" s="645"/>
      <c r="V7" s="645"/>
      <c r="W7" s="645"/>
      <c r="X7" s="645"/>
      <c r="Y7" s="645"/>
      <c r="Z7" s="645"/>
      <c r="AA7" s="645"/>
      <c r="AB7" s="645"/>
    </row>
    <row r="8" spans="2:38" s="16" customFormat="1" x14ac:dyDescent="0.25">
      <c r="B8" s="1083" t="s">
        <v>13</v>
      </c>
      <c r="C8" s="1082">
        <v>10299</v>
      </c>
      <c r="D8" s="1082">
        <v>1349</v>
      </c>
      <c r="E8" s="1082">
        <v>10357</v>
      </c>
      <c r="F8" s="1082">
        <v>4554</v>
      </c>
      <c r="G8" s="1082">
        <v>0</v>
      </c>
      <c r="H8" s="1082">
        <v>40032</v>
      </c>
      <c r="I8" s="1082">
        <v>211</v>
      </c>
      <c r="J8" s="1082">
        <v>63</v>
      </c>
      <c r="K8" s="1082">
        <v>0</v>
      </c>
      <c r="L8" s="1082">
        <v>36</v>
      </c>
      <c r="M8" s="1082">
        <v>1440</v>
      </c>
      <c r="N8" s="1082">
        <v>0</v>
      </c>
      <c r="O8" s="645"/>
      <c r="P8" s="645"/>
      <c r="Q8" s="645"/>
      <c r="R8" s="645"/>
      <c r="S8" s="645"/>
      <c r="T8" s="645"/>
      <c r="U8" s="645"/>
      <c r="V8" s="645"/>
      <c r="W8" s="645"/>
      <c r="X8" s="645"/>
      <c r="Y8" s="645"/>
      <c r="Z8" s="645"/>
      <c r="AA8" s="645"/>
      <c r="AB8" s="645"/>
    </row>
    <row r="9" spans="2:38" s="16" customFormat="1" x14ac:dyDescent="0.25">
      <c r="B9" s="1083" t="s">
        <v>15</v>
      </c>
      <c r="C9" s="1082">
        <v>0</v>
      </c>
      <c r="D9" s="1082">
        <v>0</v>
      </c>
      <c r="E9" s="1082">
        <v>0</v>
      </c>
      <c r="F9" s="1082">
        <v>0</v>
      </c>
      <c r="G9" s="1082">
        <v>0</v>
      </c>
      <c r="H9" s="1082">
        <v>0</v>
      </c>
      <c r="I9" s="1082">
        <v>0</v>
      </c>
      <c r="J9" s="1082">
        <v>0</v>
      </c>
      <c r="K9" s="1082">
        <v>0</v>
      </c>
      <c r="L9" s="1082">
        <v>0</v>
      </c>
      <c r="M9" s="1082">
        <v>0</v>
      </c>
      <c r="N9" s="1082">
        <v>0</v>
      </c>
      <c r="O9" s="645"/>
      <c r="P9" s="645"/>
      <c r="Q9" s="645"/>
      <c r="R9" s="645"/>
      <c r="S9" s="645"/>
      <c r="T9" s="645"/>
      <c r="U9" s="645"/>
      <c r="V9" s="645"/>
      <c r="W9" s="645"/>
      <c r="X9" s="645"/>
      <c r="Y9" s="645"/>
      <c r="Z9" s="645"/>
      <c r="AA9" s="645"/>
      <c r="AB9" s="645"/>
    </row>
    <row r="10" spans="2:38" s="16" customFormat="1" x14ac:dyDescent="0.25">
      <c r="B10" s="1083" t="s">
        <v>17</v>
      </c>
      <c r="C10" s="1082">
        <v>10803</v>
      </c>
      <c r="D10" s="1082">
        <v>6252</v>
      </c>
      <c r="E10" s="1082">
        <v>7851</v>
      </c>
      <c r="F10" s="1082">
        <v>6221</v>
      </c>
      <c r="G10" s="1082">
        <v>2184</v>
      </c>
      <c r="H10" s="1082">
        <v>47884.5</v>
      </c>
      <c r="I10" s="1082">
        <v>641</v>
      </c>
      <c r="J10" s="1082">
        <v>1374</v>
      </c>
      <c r="K10" s="1082">
        <v>0</v>
      </c>
      <c r="L10" s="1082">
        <v>667</v>
      </c>
      <c r="M10" s="1082">
        <v>28502</v>
      </c>
      <c r="N10" s="1082">
        <v>264</v>
      </c>
      <c r="O10" s="645"/>
      <c r="P10" s="645"/>
      <c r="Q10" s="645"/>
      <c r="R10" s="645"/>
      <c r="S10" s="645"/>
      <c r="T10" s="645"/>
      <c r="U10" s="645"/>
      <c r="V10" s="645"/>
      <c r="W10" s="645"/>
      <c r="X10" s="645"/>
      <c r="Y10" s="645"/>
      <c r="Z10" s="645"/>
      <c r="AA10" s="645"/>
      <c r="AB10" s="645"/>
    </row>
    <row r="11" spans="2:38" s="16" customFormat="1" x14ac:dyDescent="0.25">
      <c r="B11" s="1083" t="s">
        <v>14</v>
      </c>
      <c r="C11" s="1082">
        <v>0</v>
      </c>
      <c r="D11" s="1082">
        <v>0</v>
      </c>
      <c r="E11" s="1082">
        <v>0</v>
      </c>
      <c r="F11" s="1082">
        <v>0</v>
      </c>
      <c r="G11" s="1082">
        <v>0</v>
      </c>
      <c r="H11" s="1082">
        <v>0</v>
      </c>
      <c r="I11" s="1082">
        <v>0</v>
      </c>
      <c r="J11" s="1082">
        <v>0</v>
      </c>
      <c r="K11" s="1082">
        <v>0</v>
      </c>
      <c r="L11" s="1082">
        <v>0</v>
      </c>
      <c r="M11" s="1082">
        <v>0</v>
      </c>
      <c r="N11" s="1082">
        <v>0</v>
      </c>
      <c r="O11" s="645"/>
      <c r="P11" s="645"/>
      <c r="Q11" s="645"/>
      <c r="R11" s="645"/>
      <c r="S11" s="645"/>
      <c r="T11" s="645"/>
      <c r="U11" s="645"/>
      <c r="V11" s="645"/>
      <c r="W11" s="645"/>
      <c r="X11" s="645"/>
      <c r="Y11" s="645"/>
      <c r="Z11" s="645"/>
      <c r="AA11" s="645"/>
      <c r="AB11" s="645"/>
    </row>
    <row r="12" spans="2:38" s="16" customFormat="1" x14ac:dyDescent="0.25">
      <c r="B12" s="1081" t="s">
        <v>204</v>
      </c>
      <c r="C12" s="1080">
        <v>21102</v>
      </c>
      <c r="D12" s="1080">
        <v>9041</v>
      </c>
      <c r="E12" s="1080">
        <v>18208</v>
      </c>
      <c r="F12" s="1080">
        <v>10775</v>
      </c>
      <c r="G12" s="1080">
        <v>2184</v>
      </c>
      <c r="H12" s="1085">
        <v>87916.5</v>
      </c>
      <c r="I12" s="1080">
        <v>852</v>
      </c>
      <c r="J12" s="1080">
        <v>1437</v>
      </c>
      <c r="K12" s="1080">
        <v>0</v>
      </c>
      <c r="L12" s="1080">
        <v>703</v>
      </c>
      <c r="M12" s="1080">
        <v>29942</v>
      </c>
      <c r="N12" s="1080">
        <v>264</v>
      </c>
      <c r="O12" s="645"/>
      <c r="P12" s="645"/>
      <c r="Q12" s="645"/>
      <c r="R12" s="645"/>
      <c r="S12" s="645"/>
      <c r="T12" s="645"/>
      <c r="U12" s="645"/>
      <c r="V12" s="645"/>
      <c r="W12" s="645"/>
      <c r="X12" s="645"/>
      <c r="Y12" s="645"/>
      <c r="Z12" s="645"/>
      <c r="AA12" s="645"/>
      <c r="AB12" s="645"/>
    </row>
    <row r="13" spans="2:38" s="16" customFormat="1" ht="21" customHeight="1" x14ac:dyDescent="0.25">
      <c r="B13" s="653"/>
      <c r="C13" s="653"/>
      <c r="D13" s="653"/>
      <c r="E13" s="653"/>
      <c r="F13" s="653"/>
      <c r="G13" s="653"/>
      <c r="H13" s="653"/>
      <c r="I13" s="653"/>
      <c r="J13" s="654"/>
      <c r="K13" s="654"/>
      <c r="L13" s="654"/>
      <c r="M13" s="654"/>
      <c r="N13" s="645"/>
      <c r="O13" s="645"/>
      <c r="P13" s="645"/>
      <c r="Q13" s="645"/>
      <c r="R13" s="645"/>
      <c r="S13" s="645"/>
      <c r="T13" s="645"/>
      <c r="U13" s="645"/>
      <c r="V13" s="645"/>
      <c r="W13" s="645"/>
      <c r="X13" s="645"/>
      <c r="Y13" s="645"/>
      <c r="Z13" s="645"/>
      <c r="AA13" s="645"/>
    </row>
    <row r="14" spans="2:38" s="16" customFormat="1" ht="21" customHeight="1" x14ac:dyDescent="0.25">
      <c r="B14" s="901"/>
      <c r="C14" s="901"/>
      <c r="D14" s="901"/>
      <c r="E14" s="901"/>
      <c r="F14" s="901"/>
      <c r="G14" s="901"/>
      <c r="H14" s="901"/>
      <c r="I14" s="901"/>
      <c r="J14" s="902"/>
      <c r="K14" s="902"/>
      <c r="L14" s="902"/>
      <c r="M14" s="902"/>
      <c r="N14" s="902"/>
      <c r="O14" s="645"/>
      <c r="P14" s="645"/>
      <c r="Q14" s="645"/>
      <c r="R14" s="645"/>
      <c r="S14" s="645"/>
      <c r="T14" s="645"/>
      <c r="U14" s="645"/>
      <c r="V14" s="645"/>
      <c r="W14" s="645"/>
      <c r="X14" s="645"/>
      <c r="Y14" s="645"/>
      <c r="Z14" s="1237" t="s">
        <v>1</v>
      </c>
      <c r="AA14" s="1240" t="s">
        <v>1108</v>
      </c>
      <c r="AB14" s="1241"/>
      <c r="AC14" s="1241"/>
      <c r="AD14" s="1241"/>
      <c r="AE14" s="1241"/>
      <c r="AF14" s="1241"/>
      <c r="AG14" s="1241"/>
      <c r="AH14" s="1241"/>
      <c r="AI14" s="1241"/>
      <c r="AJ14" s="1241"/>
      <c r="AK14" s="1241"/>
      <c r="AL14" s="1242"/>
    </row>
    <row r="15" spans="2:38" s="645" customFormat="1" ht="25.5" customHeight="1" x14ac:dyDescent="0.25">
      <c r="B15" s="1237" t="s">
        <v>1</v>
      </c>
      <c r="C15" s="1250" t="s">
        <v>1129</v>
      </c>
      <c r="D15" s="1251"/>
      <c r="E15" s="1251"/>
      <c r="F15" s="1251"/>
      <c r="G15" s="1251"/>
      <c r="H15" s="1251"/>
      <c r="I15" s="1251"/>
      <c r="J15" s="1251"/>
      <c r="K15" s="1251"/>
      <c r="L15" s="1251"/>
      <c r="M15" s="1251"/>
      <c r="N15" s="1251"/>
      <c r="Z15" s="1238"/>
      <c r="AA15" s="847" t="s">
        <v>309</v>
      </c>
      <c r="AB15" s="847" t="s">
        <v>286</v>
      </c>
      <c r="AC15" s="847" t="s">
        <v>218</v>
      </c>
      <c r="AD15" s="847" t="s">
        <v>219</v>
      </c>
      <c r="AE15" s="847" t="s">
        <v>314</v>
      </c>
      <c r="AF15" s="847" t="s">
        <v>535</v>
      </c>
      <c r="AG15" s="847" t="s">
        <v>862</v>
      </c>
      <c r="AH15" s="847" t="s">
        <v>536</v>
      </c>
      <c r="AI15" s="847" t="s">
        <v>1013</v>
      </c>
      <c r="AJ15" s="847" t="s">
        <v>1014</v>
      </c>
      <c r="AK15" s="848" t="s">
        <v>1015</v>
      </c>
      <c r="AL15" s="848" t="s">
        <v>1043</v>
      </c>
    </row>
    <row r="16" spans="2:38" ht="25.5" customHeight="1" x14ac:dyDescent="0.25">
      <c r="B16" s="1238"/>
      <c r="C16" s="847" t="s">
        <v>309</v>
      </c>
      <c r="D16" s="847" t="s">
        <v>286</v>
      </c>
      <c r="E16" s="847" t="s">
        <v>218</v>
      </c>
      <c r="F16" s="847" t="s">
        <v>219</v>
      </c>
      <c r="G16" s="847" t="s">
        <v>314</v>
      </c>
      <c r="H16" s="847" t="s">
        <v>536</v>
      </c>
      <c r="I16" s="847" t="s">
        <v>1013</v>
      </c>
      <c r="J16" s="847" t="s">
        <v>1014</v>
      </c>
      <c r="K16" s="847" t="s">
        <v>1015</v>
      </c>
      <c r="L16" s="847" t="s">
        <v>1043</v>
      </c>
      <c r="M16" s="848" t="s">
        <v>1122</v>
      </c>
      <c r="N16" s="848" t="s">
        <v>1146</v>
      </c>
      <c r="Z16" s="1239"/>
      <c r="AA16" s="849" t="s">
        <v>994</v>
      </c>
      <c r="AB16" s="849" t="s">
        <v>994</v>
      </c>
      <c r="AC16" s="849" t="s">
        <v>994</v>
      </c>
      <c r="AD16" s="849" t="s">
        <v>994</v>
      </c>
      <c r="AE16" s="849" t="s">
        <v>994</v>
      </c>
      <c r="AF16" s="849" t="s">
        <v>994</v>
      </c>
      <c r="AG16" s="849" t="s">
        <v>995</v>
      </c>
      <c r="AH16" s="849" t="s">
        <v>994</v>
      </c>
      <c r="AI16" s="849" t="s">
        <v>994</v>
      </c>
      <c r="AJ16" s="849" t="s">
        <v>994</v>
      </c>
      <c r="AK16" s="849" t="s">
        <v>994</v>
      </c>
      <c r="AL16" s="849" t="s">
        <v>994</v>
      </c>
    </row>
    <row r="17" spans="2:41" ht="24.75" customHeight="1" x14ac:dyDescent="0.25">
      <c r="B17" s="1239"/>
      <c r="C17" s="849" t="s">
        <v>994</v>
      </c>
      <c r="D17" s="849" t="s">
        <v>994</v>
      </c>
      <c r="E17" s="849" t="s">
        <v>994</v>
      </c>
      <c r="F17" s="849" t="s">
        <v>994</v>
      </c>
      <c r="G17" s="849" t="s">
        <v>994</v>
      </c>
      <c r="H17" s="849" t="s">
        <v>994</v>
      </c>
      <c r="I17" s="849" t="s">
        <v>994</v>
      </c>
      <c r="J17" s="849" t="s">
        <v>994</v>
      </c>
      <c r="K17" s="849" t="s">
        <v>994</v>
      </c>
      <c r="L17" s="849" t="s">
        <v>994</v>
      </c>
      <c r="M17" s="849" t="s">
        <v>994</v>
      </c>
      <c r="N17" s="849" t="s">
        <v>994</v>
      </c>
      <c r="Z17" s="846" t="s">
        <v>14</v>
      </c>
      <c r="AA17" s="850">
        <f>SUMIFS(NFI_Household,NFI_Township,Z17,NFI_Mosquito_Track,"&lt;&gt;0" )</f>
        <v>0</v>
      </c>
      <c r="AB17" s="850">
        <f>SUMIFS(NFI_Household,NFI_Township,Z17,NFI_Tarpaulin_Track,"&lt;&gt;0" )</f>
        <v>0</v>
      </c>
      <c r="AC17" s="850">
        <f>SUMIFS(NFI_Household,NFI_Township,Z17,NFI_Blanket_Track,"&lt;&gt;0" )</f>
        <v>0</v>
      </c>
      <c r="AD17" s="850">
        <f>SUMIFS(NFI_Household,NFI_Township,Z17,NFI_Kitchen_Track,"&lt;&gt;0" )</f>
        <v>0</v>
      </c>
      <c r="AE17" s="850">
        <f>SUMIFS(NFI_Household,NFI_Township,Z17,NFI_Complementary_Track,"&lt;&gt;0" )</f>
        <v>0</v>
      </c>
      <c r="AF17" s="850">
        <f>SUMIFS(NFI_Household,NFI_Township,Z17,NFI_Plastic_Bucket_Track,"&lt;&gt;0" )</f>
        <v>0</v>
      </c>
      <c r="AG17" s="850">
        <f>SUMIFS(NFI_Household,NFI_Township,Z17,NFI_JerryCan_Track,"&lt;&gt;0" )</f>
        <v>0</v>
      </c>
      <c r="AH17" s="850">
        <f>SUMIFS(NFI_Household,NFI_Township,Z17,NFI_Plastic_Mat_Track,"&lt;&gt;0" )</f>
        <v>0</v>
      </c>
      <c r="AI17" s="850">
        <f>SUMIFS(NFI_Household,NFI_Township,Z17,NFI_Adult_Clothes_Track,"&lt;&gt;0" )</f>
        <v>0</v>
      </c>
      <c r="AJ17" s="850">
        <f>SUMIFS(NFI_Household,NFI_Township,Z17,NFI_Children_Clothes_Track,"&lt;&gt;0" )</f>
        <v>0</v>
      </c>
      <c r="AK17" s="850">
        <f>SUMIFS(NFI_Household,NFI_Township,Z17,NFI_Sewing_Kit_Track,"&lt;&gt;0" )</f>
        <v>0</v>
      </c>
      <c r="AL17" s="850">
        <f>SUMIFS(NFI_Household,NFI_Township,Z17,NFI_Solar_Lantern_Track,"&lt;&gt;0" )</f>
        <v>0</v>
      </c>
    </row>
    <row r="18" spans="2:41" ht="21.75" customHeight="1" x14ac:dyDescent="0.25">
      <c r="B18" s="846" t="s">
        <v>14</v>
      </c>
      <c r="C18" s="850">
        <f>SUMIFS(NFI_Household,NFI_Township,B18,NFI_Mosquito_Track,"&gt;=1" )</f>
        <v>0</v>
      </c>
      <c r="D18" s="850">
        <f>SUMIFS(NFI_Household,NFI_Township,B18,NFI_Tarpaulin_Track,"&gt;=1" )</f>
        <v>0</v>
      </c>
      <c r="E18" s="850">
        <f>SUMIFS(NFI_Household,NFI_Township,B18,NFI_Blanket_Track,"&gt;=1" )</f>
        <v>0</v>
      </c>
      <c r="F18" s="850">
        <f>SUMIFS(NFI_Household,NFI_Township,B18,NFI_Kitchen_Track,"&gt;=1" )</f>
        <v>0</v>
      </c>
      <c r="G18" s="850">
        <f>SUMIFS(NFI_Household,NFI_Township,B18,NFI_Complementary_Track,"&gt;=1" )</f>
        <v>0</v>
      </c>
      <c r="H18" s="850">
        <f>SUMIFS(NFI_Household,NFI_Township,B18,NFI_Plastic_Mat_Track,"&gt;=1" )</f>
        <v>0</v>
      </c>
      <c r="I18" s="850">
        <f>SUMIFS(NFI_Household,NFI_Township,B18,NFI_Adult_Clothes_Track,"&gt;=1" )</f>
        <v>0</v>
      </c>
      <c r="J18" s="850">
        <f>SUMIFS(NFI_Household,NFI_Township,B18,NFI_Children_Clothes_Track,"&gt;=1" )</f>
        <v>0</v>
      </c>
      <c r="K18" s="850">
        <f>SUMIFS(NFI_Household,NFI_Township,B18,NFI_Sewing_Kit_Track,"&gt;=1" )</f>
        <v>0</v>
      </c>
      <c r="L18" s="850">
        <f>SUMIFS(NFI_Household,NFI_Township,B18,NFI_Solar_Lantern_Track,"&gt;=1" )</f>
        <v>0</v>
      </c>
      <c r="M18" s="850">
        <f>SUMIFS(NFI_Household,NFI_Township,B18,NFI_Core_Track,"&gt;=1" )</f>
        <v>0</v>
      </c>
      <c r="N18" s="850">
        <f>SUMIFS(NFI_Household,NFI_Township,B18,Rope_Track_tt,"&gt;=1" )</f>
        <v>0</v>
      </c>
      <c r="Z18" s="846" t="s">
        <v>814</v>
      </c>
      <c r="AA18" s="850">
        <f>SUMIFS(NFI_Household,NFI_Township,Z18,NFI_Mosquito_Track,"&lt;&gt;0" )</f>
        <v>0</v>
      </c>
      <c r="AB18" s="850">
        <f>SUMIFS(NFI_Household,NFI_Township,Z18,NFI_Tarpaulin_Track,"&lt;&gt;0" )</f>
        <v>637</v>
      </c>
      <c r="AC18" s="850">
        <f>SUMIFS(NFI_Household,NFI_Township,Z18,NFI_Blanket_Track,"&lt;&gt;0" )</f>
        <v>0</v>
      </c>
      <c r="AD18" s="850">
        <f>SUMIFS(NFI_Household,NFI_Township,Z18,NFI_Kitchen_Track,"&lt;&gt;0" )</f>
        <v>0</v>
      </c>
      <c r="AE18" s="850">
        <f>SUMIFS(NFI_Household,NFI_Township,Z18,NFI_Complementary_Track,"&lt;&gt;0" )</f>
        <v>0</v>
      </c>
      <c r="AF18" s="850">
        <f>SUMIFS(NFI_Household,NFI_Township,Z18,NFI_Plastic_Bucket_Track,"&lt;&gt;0" )</f>
        <v>0</v>
      </c>
      <c r="AG18" s="850">
        <f>SUMIFS(NFI_Household,NFI_Township,Z18,NFI_JerryCan_Track,"&lt;&gt;0" )</f>
        <v>0</v>
      </c>
      <c r="AH18" s="850">
        <f>SUMIFS(NFI_Household,NFI_Township,Z18,NFI_Plastic_Mat_Track,"&lt;&gt;0" )</f>
        <v>0</v>
      </c>
      <c r="AI18" s="850">
        <f>SUMIFS(NFI_Household,NFI_Township,Z18,NFI_Adult_Clothes_Track,"&lt;&gt;0" )</f>
        <v>0</v>
      </c>
      <c r="AJ18" s="850">
        <f>SUMIFS(NFI_Household,NFI_Township,Z18,NFI_Children_Clothes_Track,"&lt;&gt;0" )</f>
        <v>0</v>
      </c>
      <c r="AK18" s="850">
        <f>SUMIFS(NFI_Household,NFI_Township,Z18,NFI_Sewing_Kit_Track,"&lt;&gt;0" )</f>
        <v>0</v>
      </c>
      <c r="AL18" s="850">
        <f>SUMIFS(NFI_Household,NFI_Township,Z18,NFI_Solar_Lantern_Track,"&lt;&gt;0" )</f>
        <v>0</v>
      </c>
    </row>
    <row r="19" spans="2:41" ht="21.75" customHeight="1" x14ac:dyDescent="0.25">
      <c r="B19" s="846" t="s">
        <v>814</v>
      </c>
      <c r="C19" s="850">
        <f>SUMIFS(NFI_Household,NFI_Township,B19,NFI_Mosquito_Track,"&gt;=1" )</f>
        <v>0</v>
      </c>
      <c r="D19" s="850">
        <f>SUMIFS(NFI_Household,NFI_Township,B19,NFI_Tarpaulin_Track,"&gt;=1" )</f>
        <v>637</v>
      </c>
      <c r="E19" s="850">
        <f>SUMIFS(NFI_Household,NFI_Township,B19,NFI_Blanket_Track,"&gt;=1" )</f>
        <v>0</v>
      </c>
      <c r="F19" s="850">
        <f>SUMIFS(NFI_Household,NFI_Township,B19,NFI_Kitchen_Track,"&gt;=1" )</f>
        <v>0</v>
      </c>
      <c r="G19" s="850">
        <f>SUMIFS(NFI_Household,NFI_Township,B19,NFI_Complementary_Track,"&gt;=1" )</f>
        <v>0</v>
      </c>
      <c r="H19" s="850">
        <f>SUMIFS(NFI_Household,NFI_Township,B19,NFI_Plastic_Mat_Track,"&gt;=1" )</f>
        <v>0</v>
      </c>
      <c r="I19" s="850">
        <f>SUMIFS(NFI_Household,NFI_Township,B19,NFI_Adult_Clothes_Track,"&gt;=1" )</f>
        <v>0</v>
      </c>
      <c r="J19" s="850">
        <f>SUMIFS(NFI_Household,NFI_Township,B19,NFI_Children_Clothes_Track,"&gt;=1" )</f>
        <v>0</v>
      </c>
      <c r="K19" s="850">
        <f>SUMIFS(NFI_Household,NFI_Township,B19,NFI_Sewing_Kit_Track,"&gt;=1" )</f>
        <v>0</v>
      </c>
      <c r="L19" s="850">
        <f>SUMIFS(NFI_Household,NFI_Township,B19,NFI_Solar_Lantern_Track,"&gt;=1" )</f>
        <v>0</v>
      </c>
      <c r="M19" s="850">
        <f>SUMIFS(NFI_Household,NFI_Township,B19,NFI_Core_Track,"&gt;=1" )</f>
        <v>0</v>
      </c>
      <c r="N19" s="850">
        <f>SUMIFS(NFI_Household,NFI_Township,B19,Rope_Track_tt,"&gt;=1" )</f>
        <v>0</v>
      </c>
      <c r="Z19" s="846" t="s">
        <v>13</v>
      </c>
      <c r="AA19" s="850">
        <f>SUMIFS(NFI_Household,NFI_Township,Z19,NFI_Mosquito_Track,"&lt;&gt;0" )</f>
        <v>5772</v>
      </c>
      <c r="AB19" s="850">
        <f>SUMIFS(NFI_Household,NFI_Township,Z19,NFI_Tarpaulin_Track,"&lt;&gt;0" )</f>
        <v>1299</v>
      </c>
      <c r="AC19" s="850">
        <f>SUMIFS(NFI_Household,NFI_Township,Z19,NFI_Blanket_Track,"&lt;&gt;0" )</f>
        <v>5780</v>
      </c>
      <c r="AD19" s="850">
        <f>SUMIFS(NFI_Household,NFI_Township,Z19,NFI_Kitchen_Track,"&lt;&gt;0" )</f>
        <v>4531</v>
      </c>
      <c r="AE19" s="850">
        <f>SUMIFS(NFI_Household,NFI_Township,Z19,NFI_Complementary_Track,"&lt;&gt;0" )</f>
        <v>0</v>
      </c>
      <c r="AF19" s="850">
        <f>SUMIFS(NFI_Household,NFI_Township,Z19,NFI_Plastic_Bucket_Track,"&lt;&gt;0" )</f>
        <v>50</v>
      </c>
      <c r="AG19" s="850">
        <f>SUMIFS(NFI_Household,NFI_Township,Z19,NFI_JerryCan_Track,"&lt;&gt;0" )</f>
        <v>50</v>
      </c>
      <c r="AH19" s="850">
        <f>SUMIFS(NFI_Household,NFI_Township,Z19,NFI_Plastic_Mat_Track,"&lt;&gt;0" )</f>
        <v>4573</v>
      </c>
      <c r="AI19" s="850">
        <f>SUMIFS(NFI_Household,NFI_Township,Z19,NFI_Adult_Clothes_Track,"&lt;&gt;0" )</f>
        <v>211</v>
      </c>
      <c r="AJ19" s="850">
        <f>SUMIFS(NFI_Household,NFI_Township,Z19,NFI_Children_Clothes_Track,"&lt;&gt;0" )</f>
        <v>211</v>
      </c>
      <c r="AK19" s="850">
        <f>SUMIFS(NFI_Household,NFI_Township,Z19,NFI_Sewing_Kit_Track,"&lt;&gt;0" )</f>
        <v>0</v>
      </c>
      <c r="AL19" s="850">
        <f>SUMIFS(NFI_Household,NFI_Township,Z19,NFI_Solar_Lantern_Track,"&lt;&gt;0" )</f>
        <v>42</v>
      </c>
    </row>
    <row r="20" spans="2:41" ht="21.75" customHeight="1" x14ac:dyDescent="0.25">
      <c r="B20" s="846" t="s">
        <v>13</v>
      </c>
      <c r="C20" s="850">
        <f>SUMIFS(NFI_Household,NFI_Township,B20,NFI_Mosquito_Track,"&gt;=1" )</f>
        <v>5772</v>
      </c>
      <c r="D20" s="850">
        <f>SUMIFS(NFI_Household,NFI_Township,B20,NFI_Tarpaulin_Track,"&gt;=1" )</f>
        <v>1299</v>
      </c>
      <c r="E20" s="850">
        <f>SUMIFS(NFI_Household,NFI_Township,B20,NFI_Blanket_Track,"&gt;=1" )</f>
        <v>5780</v>
      </c>
      <c r="F20" s="850">
        <f>SUMIFS(NFI_Household,NFI_Township,B20,NFI_Kitchen_Track,"&gt;=1" )</f>
        <v>4531</v>
      </c>
      <c r="G20" s="850">
        <f>SUMIFS(NFI_Household,NFI_Township,B20,NFI_Complementary_Track,"&gt;=1" )</f>
        <v>0</v>
      </c>
      <c r="H20" s="850">
        <f>SUMIFS(NFI_Household,NFI_Township,B20,NFI_Plastic_Mat_Track,"&gt;=1" )</f>
        <v>4573</v>
      </c>
      <c r="I20" s="850">
        <f>SUMIFS(NFI_Household,NFI_Township,B20,NFI_Adult_Clothes_Track,"&gt;=1" )</f>
        <v>211</v>
      </c>
      <c r="J20" s="850">
        <f>SUMIFS(NFI_Household,NFI_Township,B20,NFI_Children_Clothes_Track,"&gt;=1" )</f>
        <v>211</v>
      </c>
      <c r="K20" s="850">
        <f>SUMIFS(NFI_Household,NFI_Township,B20,NFI_Sewing_Kit_Track,"&gt;=1" )</f>
        <v>0</v>
      </c>
      <c r="L20" s="850">
        <f>SUMIFS(NFI_Household,NFI_Township,B20,NFI_Solar_Lantern_Track,"&gt;=1" )</f>
        <v>42</v>
      </c>
      <c r="M20" s="850">
        <f>SUMIFS(NFI_Household,NFI_Township,B20,NFI_Core_Track,"&gt;=1" )</f>
        <v>720</v>
      </c>
      <c r="N20" s="850">
        <f>SUMIFS(NFI_Household,NFI_Township,B20,Rope_Track_tt,"&gt;=1" )</f>
        <v>0</v>
      </c>
      <c r="Z20" s="846" t="s">
        <v>15</v>
      </c>
      <c r="AA20" s="850">
        <f>SUMIFS(NFI_Household,NFI_Township,Z20,NFI_Mosquito_Track,"&lt;&gt;0" )</f>
        <v>0</v>
      </c>
      <c r="AB20" s="850">
        <f>SUMIFS(NFI_Household,NFI_Township,Z20,NFI_Tarpaulin_Track,"&lt;&gt;0" )</f>
        <v>0</v>
      </c>
      <c r="AC20" s="850">
        <f>SUMIFS(NFI_Household,NFI_Township,Z20,NFI_Blanket_Track,"&lt;&gt;0" )</f>
        <v>0</v>
      </c>
      <c r="AD20" s="850">
        <f>SUMIFS(NFI_Household,NFI_Township,Z20,NFI_Kitchen_Track,"&lt;&gt;0" )</f>
        <v>0</v>
      </c>
      <c r="AE20" s="850">
        <f>SUMIFS(NFI_Household,NFI_Township,Z20,NFI_Complementary_Track,"&lt;&gt;0" )</f>
        <v>0</v>
      </c>
      <c r="AF20" s="850">
        <f>SUMIFS(NFI_Household,NFI_Township,Z20,NFI_Plastic_Bucket_Track,"&lt;&gt;0" )</f>
        <v>0</v>
      </c>
      <c r="AG20" s="850">
        <f>SUMIFS(NFI_Household,NFI_Township,Z20,NFI_JerryCan_Track,"&lt;&gt;0" )</f>
        <v>0</v>
      </c>
      <c r="AH20" s="850">
        <f>SUMIFS(NFI_Household,NFI_Township,Z20,NFI_Plastic_Mat_Track,"&lt;&gt;0" )</f>
        <v>0</v>
      </c>
      <c r="AI20" s="850">
        <f>SUMIFS(NFI_Household,NFI_Township,Z20,NFI_Adult_Clothes_Track,"&lt;&gt;0" )</f>
        <v>0</v>
      </c>
      <c r="AJ20" s="850">
        <f>SUMIFS(NFI_Household,NFI_Township,Z20,NFI_Children_Clothes_Track,"&lt;&gt;0" )</f>
        <v>0</v>
      </c>
      <c r="AK20" s="850">
        <f>SUMIFS(NFI_Household,NFI_Township,Z20,NFI_Sewing_Kit_Track,"&lt;&gt;0" )</f>
        <v>0</v>
      </c>
      <c r="AL20" s="850">
        <f>SUMIFS(NFI_Household,NFI_Township,Z20,NFI_Solar_Lantern_Track,"&lt;&gt;0" )</f>
        <v>0</v>
      </c>
    </row>
    <row r="21" spans="2:41" ht="21.75" customHeight="1" x14ac:dyDescent="0.25">
      <c r="B21" s="846" t="s">
        <v>15</v>
      </c>
      <c r="C21" s="850">
        <f>SUMIFS(NFI_Household,NFI_Township,B21,NFI_Mosquito_Track,"&gt;=1" )</f>
        <v>0</v>
      </c>
      <c r="D21" s="850">
        <f>SUMIFS(NFI_Household,NFI_Township,B21,NFI_Tarpaulin_Track,"&gt;=1" )</f>
        <v>0</v>
      </c>
      <c r="E21" s="850">
        <f>SUMIFS(NFI_Household,NFI_Township,B21,NFI_Blanket_Track,"&gt;=1" )</f>
        <v>0</v>
      </c>
      <c r="F21" s="850">
        <f>SUMIFS(NFI_Household,NFI_Township,B21,NFI_Kitchen_Track,"&gt;=1" )</f>
        <v>0</v>
      </c>
      <c r="G21" s="850">
        <f>SUMIFS(NFI_Household,NFI_Township,B21,NFI_Complementary_Track,"&gt;=1" )</f>
        <v>0</v>
      </c>
      <c r="H21" s="850">
        <f>SUMIFS(NFI_Household,NFI_Township,B21,NFI_Plastic_Mat_Track,"&gt;=1" )</f>
        <v>0</v>
      </c>
      <c r="I21" s="850">
        <f>SUMIFS(NFI_Household,NFI_Township,B21,NFI_Adult_Clothes_Track,"&gt;=1" )</f>
        <v>0</v>
      </c>
      <c r="J21" s="850">
        <f>SUMIFS(NFI_Household,NFI_Township,B21,NFI_Children_Clothes_Track,"&gt;=1" )</f>
        <v>0</v>
      </c>
      <c r="K21" s="850">
        <f>SUMIFS(NFI_Household,NFI_Township,B21,NFI_Sewing_Kit_Track,"&gt;=1" )</f>
        <v>0</v>
      </c>
      <c r="L21" s="850">
        <f>SUMIFS(NFI_Household,NFI_Township,B21,NFI_Solar_Lantern_Track,"&gt;=1" )</f>
        <v>0</v>
      </c>
      <c r="M21" s="850">
        <f>SUMIFS(NFI_Household,NFI_Township,B21,NFI_Core_Track,"&gt;=1" )</f>
        <v>0</v>
      </c>
      <c r="N21" s="850">
        <f>SUMIFS(NFI_Household,NFI_Township,B21,Rope_Track_tt,"&gt;=1" )</f>
        <v>0</v>
      </c>
      <c r="Z21" s="846" t="s">
        <v>17</v>
      </c>
      <c r="AA21" s="850">
        <f>SUMIFS(NFI_Household,NFI_Township,Z21,NFI_Mosquito_Track,"&lt;&gt;0" )</f>
        <v>5298</v>
      </c>
      <c r="AB21" s="850">
        <f>SUMIFS(NFI_Household,NFI_Township,Z21,NFI_Tarpaulin_Track,"&lt;&gt;0" )</f>
        <v>5004</v>
      </c>
      <c r="AC21" s="850">
        <f>SUMIFS(NFI_Household,NFI_Township,Z21,NFI_Blanket_Track,"&lt;&gt;0" )</f>
        <v>4102</v>
      </c>
      <c r="AD21" s="850">
        <f>SUMIFS(NFI_Household,NFI_Township,Z21,NFI_Kitchen_Track,"&lt;&gt;0" )</f>
        <v>6420</v>
      </c>
      <c r="AE21" s="850">
        <f>SUMIFS(NFI_Household,NFI_Township,Z21,NFI_Complementary_Track,"&lt;&gt;0" )</f>
        <v>728</v>
      </c>
      <c r="AF21" s="850">
        <f>SUMIFS(NFI_Household,NFI_Township,Z21,NFI_Plastic_Bucket_Track,"&lt;&gt;0" )</f>
        <v>0</v>
      </c>
      <c r="AG21" s="850">
        <f>SUMIFS(NFI_Household,NFI_Township,Z21,NFI_JerryCan_Track,"&lt;&gt;0" )</f>
        <v>0</v>
      </c>
      <c r="AH21" s="850">
        <f>SUMIFS(NFI_Household,NFI_Township,Z21,NFI_Plastic_Mat_Track,"&lt;&gt;0" )</f>
        <v>4137</v>
      </c>
      <c r="AI21" s="850">
        <f>SUMIFS(NFI_Household,NFI_Township,Z21,NFI_Adult_Clothes_Track,"&lt;&gt;0" )</f>
        <v>641</v>
      </c>
      <c r="AJ21" s="850">
        <f>SUMIFS(NFI_Household,NFI_Township,Z21,NFI_Children_Clothes_Track,"&lt;&gt;0" )</f>
        <v>1683</v>
      </c>
      <c r="AK21" s="850">
        <f>SUMIFS(NFI_Household,NFI_Township,Z21,NFI_Sewing_Kit_Track,"&lt;&gt;0" )</f>
        <v>0</v>
      </c>
      <c r="AL21" s="850">
        <f>SUMIFS(NFI_Household,NFI_Township,Z21,NFI_Solar_Lantern_Track,"&lt;&gt;0" )</f>
        <v>666</v>
      </c>
    </row>
    <row r="22" spans="2:41" ht="21.75" customHeight="1" x14ac:dyDescent="0.25">
      <c r="B22" s="846" t="s">
        <v>17</v>
      </c>
      <c r="C22" s="850">
        <f>SUMIFS(NFI_Household,NFI_Township,B22,NFI_Mosquito_Track,"&gt;=1" )</f>
        <v>5298</v>
      </c>
      <c r="D22" s="850">
        <f>SUMIFS(NFI_Household,NFI_Township,B22,NFI_Tarpaulin_Track,"&gt;=1" )</f>
        <v>5004</v>
      </c>
      <c r="E22" s="850">
        <f>SUMIFS(NFI_Household,NFI_Township,B22,NFI_Blanket_Track,"&gt;=1" )</f>
        <v>4102</v>
      </c>
      <c r="F22" s="850">
        <f>SUMIFS(NFI_Household,NFI_Township,B22,NFI_Kitchen_Track,"&gt;=1" )</f>
        <v>6420</v>
      </c>
      <c r="G22" s="850">
        <f>SUMIFS(NFI_Household,NFI_Township,B22,NFI_Complementary_Track,"&gt;=1" )</f>
        <v>728</v>
      </c>
      <c r="H22" s="850">
        <f>SUMIFS(NFI_Household,NFI_Township,B22,NFI_Plastic_Mat_Track,"&gt;=1" )</f>
        <v>4137</v>
      </c>
      <c r="I22" s="850">
        <f>SUMIFS(NFI_Household,NFI_Township,B22,NFI_Adult_Clothes_Track,"&gt;=1" )</f>
        <v>641</v>
      </c>
      <c r="J22" s="850">
        <f>SUMIFS(NFI_Household,NFI_Township,B22,NFI_Children_Clothes_Track,"&gt;=1" )</f>
        <v>1683</v>
      </c>
      <c r="K22" s="850">
        <f>SUMIFS(NFI_Household,NFI_Township,B22,NFI_Sewing_Kit_Track,"&gt;=1" )</f>
        <v>0</v>
      </c>
      <c r="L22" s="850">
        <f>SUMIFS(NFI_Household,NFI_Township,B22,NFI_Solar_Lantern_Track,"&gt;=1" )</f>
        <v>666</v>
      </c>
      <c r="M22" s="850">
        <f>SUMIFS(NFI_Household,NFI_Township,B22,NFI_Core_Track,"&gt;=1" )</f>
        <v>27904</v>
      </c>
      <c r="N22" s="850">
        <f>SUMIFS(NFI_Household,NFI_Township,B22,Rope_Track_tt,"&gt;=1" )</f>
        <v>264</v>
      </c>
      <c r="Z22" s="851" t="s">
        <v>5</v>
      </c>
      <c r="AA22" s="852">
        <f t="shared" ref="AA22:AL22" si="0">SUM(AA17:AA21)</f>
        <v>11070</v>
      </c>
      <c r="AB22" s="852">
        <f t="shared" si="0"/>
        <v>6940</v>
      </c>
      <c r="AC22" s="852">
        <f t="shared" si="0"/>
        <v>9882</v>
      </c>
      <c r="AD22" s="852">
        <f t="shared" si="0"/>
        <v>10951</v>
      </c>
      <c r="AE22" s="852">
        <f t="shared" si="0"/>
        <v>728</v>
      </c>
      <c r="AF22" s="852">
        <f t="shared" si="0"/>
        <v>50</v>
      </c>
      <c r="AG22" s="852">
        <f t="shared" si="0"/>
        <v>50</v>
      </c>
      <c r="AH22" s="852">
        <f t="shared" si="0"/>
        <v>8710</v>
      </c>
      <c r="AI22" s="852">
        <f t="shared" si="0"/>
        <v>852</v>
      </c>
      <c r="AJ22" s="852">
        <f t="shared" si="0"/>
        <v>1894</v>
      </c>
      <c r="AK22" s="852">
        <f t="shared" si="0"/>
        <v>0</v>
      </c>
      <c r="AL22" s="852">
        <f t="shared" si="0"/>
        <v>708</v>
      </c>
    </row>
    <row r="23" spans="2:41" customFormat="1" ht="20.25" customHeight="1" x14ac:dyDescent="0.25">
      <c r="B23" s="862" t="s">
        <v>5</v>
      </c>
      <c r="C23" s="861">
        <f t="shared" ref="C23:G23" si="1">SUM(C18:C22)</f>
        <v>11070</v>
      </c>
      <c r="D23" s="861">
        <f t="shared" si="1"/>
        <v>6940</v>
      </c>
      <c r="E23" s="861">
        <f t="shared" si="1"/>
        <v>9882</v>
      </c>
      <c r="F23" s="861">
        <f t="shared" si="1"/>
        <v>10951</v>
      </c>
      <c r="G23" s="861">
        <f t="shared" si="1"/>
        <v>728</v>
      </c>
      <c r="H23" s="861">
        <f>SUM(H18:H22)</f>
        <v>8710</v>
      </c>
      <c r="I23" s="861">
        <f>SUM(I18:I22)</f>
        <v>852</v>
      </c>
      <c r="J23" s="861">
        <f>SUM(J18:J22)</f>
        <v>1894</v>
      </c>
      <c r="K23" s="861"/>
      <c r="L23" s="861">
        <f>SUM(L18:L22)</f>
        <v>708</v>
      </c>
      <c r="M23" s="861">
        <f>SUM(M18:M22)</f>
        <v>28624</v>
      </c>
      <c r="N23" s="861">
        <f>SUM(N18:N22)</f>
        <v>264</v>
      </c>
    </row>
    <row r="24" spans="2:41" s="645" customFormat="1" ht="20.25" customHeight="1" x14ac:dyDescent="0.25">
      <c r="B24" s="1018"/>
      <c r="C24" s="1019"/>
      <c r="D24" s="1019"/>
      <c r="E24" s="1019"/>
      <c r="F24" s="1019"/>
      <c r="G24" s="1019"/>
      <c r="H24" s="1019"/>
      <c r="I24" s="1019"/>
      <c r="J24" s="1019"/>
      <c r="K24" s="1019"/>
      <c r="L24" s="1019"/>
      <c r="M24" s="1019"/>
      <c r="N24" s="1019"/>
    </row>
    <row r="25" spans="2:41" customFormat="1" ht="30.75" customHeight="1" x14ac:dyDescent="0.25">
      <c r="B25" s="84"/>
      <c r="C25" s="84"/>
      <c r="D25" s="84"/>
      <c r="E25" s="84"/>
      <c r="F25" s="84"/>
      <c r="G25" s="84"/>
      <c r="H25" s="84"/>
      <c r="I25" s="84"/>
      <c r="J25" s="84"/>
      <c r="K25" s="84"/>
      <c r="L25" s="78"/>
      <c r="M25" s="645"/>
      <c r="Z25" s="1237" t="s">
        <v>1</v>
      </c>
      <c r="AA25" s="1237" t="s">
        <v>996</v>
      </c>
      <c r="AB25" s="1237" t="s">
        <v>214</v>
      </c>
      <c r="AC25" s="1240" t="s">
        <v>1108</v>
      </c>
      <c r="AD25" s="1241"/>
      <c r="AE25" s="1241"/>
      <c r="AF25" s="1241"/>
      <c r="AG25" s="1241"/>
      <c r="AH25" s="1241"/>
      <c r="AI25" s="1241"/>
      <c r="AJ25" s="1241"/>
      <c r="AK25" s="1241"/>
      <c r="AL25" s="1241"/>
      <c r="AM25" s="1241"/>
      <c r="AN25" s="1242"/>
    </row>
    <row r="26" spans="2:41" customFormat="1" ht="30" customHeight="1" x14ac:dyDescent="0.25">
      <c r="B26" s="170" t="s">
        <v>745</v>
      </c>
      <c r="C26" s="646" t="s">
        <v>716</v>
      </c>
      <c r="D26" s="84"/>
      <c r="E26" s="84"/>
      <c r="F26" s="84"/>
      <c r="G26" s="84"/>
      <c r="H26" s="84"/>
      <c r="I26" s="84"/>
      <c r="J26" s="84"/>
      <c r="K26" s="84"/>
      <c r="L26" s="78"/>
      <c r="M26" s="645"/>
      <c r="Z26" s="1238"/>
      <c r="AA26" s="1238"/>
      <c r="AB26" s="1238"/>
      <c r="AC26" s="847" t="s">
        <v>309</v>
      </c>
      <c r="AD26" s="847" t="s">
        <v>286</v>
      </c>
      <c r="AE26" s="847" t="s">
        <v>218</v>
      </c>
      <c r="AF26" s="847" t="s">
        <v>219</v>
      </c>
      <c r="AG26" s="847" t="s">
        <v>314</v>
      </c>
      <c r="AH26" s="847" t="s">
        <v>535</v>
      </c>
      <c r="AI26" s="847" t="s">
        <v>862</v>
      </c>
      <c r="AJ26" s="847" t="s">
        <v>536</v>
      </c>
      <c r="AK26" s="847" t="s">
        <v>1013</v>
      </c>
      <c r="AL26" s="847" t="s">
        <v>1014</v>
      </c>
      <c r="AM26" s="848" t="s">
        <v>1015</v>
      </c>
      <c r="AN26" s="848" t="s">
        <v>1043</v>
      </c>
    </row>
    <row r="27" spans="2:41" s="645" customFormat="1" ht="30" customHeight="1" x14ac:dyDescent="0.25">
      <c r="B27" s="84"/>
      <c r="C27" s="1245" t="s">
        <v>1156</v>
      </c>
      <c r="D27" s="1246"/>
      <c r="E27" s="1246"/>
      <c r="F27" s="1246"/>
      <c r="G27" s="1246"/>
      <c r="H27" s="1246"/>
      <c r="I27" s="1246"/>
      <c r="J27" s="1246"/>
      <c r="K27" s="1246"/>
      <c r="L27" s="1246"/>
      <c r="M27" s="1246"/>
      <c r="N27" s="1246"/>
      <c r="Z27" s="1239"/>
      <c r="AA27" s="1239"/>
      <c r="AB27" s="1239"/>
      <c r="AC27" s="849" t="s">
        <v>994</v>
      </c>
      <c r="AD27" s="849" t="s">
        <v>994</v>
      </c>
      <c r="AE27" s="849" t="s">
        <v>994</v>
      </c>
      <c r="AF27" s="849" t="s">
        <v>994</v>
      </c>
      <c r="AG27" s="849" t="s">
        <v>994</v>
      </c>
      <c r="AH27" s="849" t="s">
        <v>994</v>
      </c>
      <c r="AI27" s="849" t="s">
        <v>995</v>
      </c>
      <c r="AJ27" s="849" t="s">
        <v>994</v>
      </c>
      <c r="AK27" s="849" t="s">
        <v>994</v>
      </c>
      <c r="AL27" s="849" t="s">
        <v>994</v>
      </c>
      <c r="AM27" s="849" t="s">
        <v>994</v>
      </c>
      <c r="AN27" s="849" t="s">
        <v>994</v>
      </c>
    </row>
    <row r="28" spans="2:41" s="645" customFormat="1" x14ac:dyDescent="0.25">
      <c r="B28" s="876" t="s">
        <v>191</v>
      </c>
      <c r="C28" s="905" t="s">
        <v>1092</v>
      </c>
      <c r="D28" s="905" t="s">
        <v>1093</v>
      </c>
      <c r="E28" s="905" t="s">
        <v>1094</v>
      </c>
      <c r="F28" s="905" t="s">
        <v>1095</v>
      </c>
      <c r="G28" s="905" t="s">
        <v>1096</v>
      </c>
      <c r="H28" s="905" t="s">
        <v>1127</v>
      </c>
      <c r="I28" s="905" t="s">
        <v>1026</v>
      </c>
      <c r="J28" s="905" t="s">
        <v>1025</v>
      </c>
      <c r="K28" s="905" t="s">
        <v>1024</v>
      </c>
      <c r="L28" s="905" t="s">
        <v>1045</v>
      </c>
      <c r="M28" s="905" t="s">
        <v>1122</v>
      </c>
      <c r="N28" s="905" t="s">
        <v>1148</v>
      </c>
      <c r="O28"/>
      <c r="P28"/>
      <c r="Q28"/>
      <c r="R28"/>
      <c r="S28"/>
      <c r="T28"/>
      <c r="Z28" s="645" t="s">
        <v>14</v>
      </c>
      <c r="AA28" s="846">
        <f>SUMIFS(Camplist_HH,Camplist_Township,'NFI Distribution by 12 Months'!$Z28,CampList_Status,"Open")</f>
        <v>85</v>
      </c>
      <c r="AB28" s="850">
        <f>SUMIFS(Camplist_Popl,Camplist_Township,'NFI Distribution by 12 Months'!$Z28,CampList_Status,"Open")</f>
        <v>546</v>
      </c>
      <c r="AC28" s="850">
        <f>SUMIFS(Camplist_Popl,Camplist_Township,'NFI Distribution by 12 Months'!$AA28,CampList_Status,"Open")</f>
        <v>0</v>
      </c>
      <c r="AD28" s="850">
        <f>SUMIFS(NFI_Household,NFI_Township,AA28,NFI_Mosquito_Track,"&lt;&gt;0" )</f>
        <v>0</v>
      </c>
      <c r="AE28" s="850">
        <f>SUMIFS(NFI_Household,NFI_Township,AA28,NFI_Tarpaulin_Track,"&lt;&gt;0" )</f>
        <v>0</v>
      </c>
      <c r="AF28" s="850">
        <f>SUMIFS(NFI_Household,NFI_Township,AA28,NFI_Blanket_Track,"&lt;&gt;0" )</f>
        <v>0</v>
      </c>
      <c r="AG28" s="850">
        <f>SUMIFS(NFI_Household,NFI_Township,AA28,NFI_Kitchen_Track,"&lt;&gt;0" )</f>
        <v>0</v>
      </c>
      <c r="AH28" s="850">
        <f>SUMIFS(NFI_Household,NFI_Township,AA28,NFI_Complementary_Track,"&lt;&gt;0" )</f>
        <v>0</v>
      </c>
      <c r="AI28" s="850">
        <f>SUMIFS(NFI_Household,NFI_Township,AA28,NFI_Plastic_Bucket_Track,"&lt;&gt;0" )</f>
        <v>0</v>
      </c>
      <c r="AJ28" s="850">
        <f>SUMIFS(NFI_Household,NFI_Township,AA28,NFI_JerryCan_Track,"&lt;&gt;0" )</f>
        <v>0</v>
      </c>
      <c r="AK28" s="850">
        <f>SUMIFS(NFI_Household,NFI_Township,AA28,NFI_Plastic_Mat_Track,"&lt;&gt;0" )</f>
        <v>0</v>
      </c>
      <c r="AL28" s="850">
        <f>SUMIFS(NFI_Household,NFI_Township,AA28,NFI_Adult_Clothes_Track,"&lt;&gt;0" )</f>
        <v>0</v>
      </c>
      <c r="AM28" s="850">
        <f>SUMIFS(NFI_Household,NFI_Township,AA28,NFI_Children_Clothes_Track,"&lt;&gt;0" )</f>
        <v>0</v>
      </c>
      <c r="AN28" s="850">
        <f>SUMIFS(NFI_Household,NFI_Township,AA28,NFI_Sewing_Kit_Track,"&lt;&gt;0" )</f>
        <v>0</v>
      </c>
      <c r="AO28" s="850">
        <f>SUMIFS(NFI_Household,NFI_Township,AA28,NFI_Solar_Lantern_Track,"&lt;&gt;0" )</f>
        <v>0</v>
      </c>
    </row>
    <row r="29" spans="2:41" s="645" customFormat="1" x14ac:dyDescent="0.25">
      <c r="B29" s="946" t="s">
        <v>273</v>
      </c>
      <c r="C29" s="88">
        <v>2184</v>
      </c>
      <c r="D29" s="88">
        <v>1616</v>
      </c>
      <c r="E29" s="88">
        <v>0</v>
      </c>
      <c r="F29" s="88">
        <v>728</v>
      </c>
      <c r="G29" s="88">
        <v>2184</v>
      </c>
      <c r="H29" s="88">
        <v>0</v>
      </c>
      <c r="I29" s="88">
        <v>852</v>
      </c>
      <c r="J29" s="88">
        <v>263</v>
      </c>
      <c r="K29" s="88">
        <v>0</v>
      </c>
      <c r="L29" s="88">
        <v>0</v>
      </c>
      <c r="M29" s="88">
        <v>0</v>
      </c>
      <c r="N29" s="88">
        <v>264</v>
      </c>
      <c r="O29"/>
      <c r="P29"/>
      <c r="Q29"/>
      <c r="R29"/>
      <c r="S29"/>
      <c r="T29"/>
      <c r="Z29" s="846" t="s">
        <v>814</v>
      </c>
      <c r="AA29" s="850">
        <f>SUMIFS(Camplist_HH,Camplist_Township,'NFI Distribution by 12 Months'!$Z29,CampList_Status,"Open")</f>
        <v>655</v>
      </c>
      <c r="AB29" s="850">
        <f>SUMIFS(Camplist_Popl,Camplist_Township,'NFI Distribution by 12 Months'!$Z29,CampList_Status,"Open")</f>
        <v>2690</v>
      </c>
      <c r="AC29" s="850">
        <f>SUMIFS(NFI_Household,NFI_Township,Z29,NFI_Mosquito_Track,"&lt;&gt;0" )</f>
        <v>0</v>
      </c>
      <c r="AD29" s="850">
        <f>SUMIFS(NFI_Household,NFI_Township,Z29,NFI_Tarpaulin_Track,"&lt;&gt;0" )</f>
        <v>637</v>
      </c>
      <c r="AE29" s="850">
        <f>SUMIFS(NFI_Household,NFI_Township,Z29,NFI_Blanket_Track,"&lt;&gt;0" )</f>
        <v>0</v>
      </c>
      <c r="AF29" s="850">
        <f>SUMIFS(NFI_Household,NFI_Township,Z29,NFI_Kitchen_Track,"&lt;&gt;0" )</f>
        <v>0</v>
      </c>
      <c r="AG29" s="850">
        <f>SUMIFS(NFI_Household,NFI_Township,Z29,NFI_Complementary_Track,"&lt;&gt;0" )</f>
        <v>0</v>
      </c>
      <c r="AH29" s="850">
        <f>SUMIFS(NFI_Household,NFI_Township,Z29,NFI_Plastic_Bucket_Track,"&lt;&gt;0" )</f>
        <v>0</v>
      </c>
      <c r="AI29" s="850">
        <f>SUMIFS(NFI_Household,NFI_Township,Z29,NFI_JerryCan_Track,"&lt;&gt;0" )</f>
        <v>0</v>
      </c>
      <c r="AJ29" s="850">
        <f>SUMIFS(NFI_Household,NFI_Township,Z29,NFI_Plastic_Mat_Track,"&lt;&gt;0" )</f>
        <v>0</v>
      </c>
      <c r="AK29" s="850">
        <f>SUMIFS(NFI_Household,NFI_Township,Z29,NFI_Adult_Clothes_Track,"&lt;&gt;0" )</f>
        <v>0</v>
      </c>
      <c r="AL29" s="850">
        <f>SUMIFS(NFI_Household,NFI_Township,Z29,NFI_Children_Clothes_Track,"&lt;&gt;0" )</f>
        <v>0</v>
      </c>
      <c r="AM29" s="850">
        <f>SUMIFS(NFI_Household,NFI_Township,Z29,NFI_Sewing_Kit_Track,"&lt;&gt;0" )</f>
        <v>0</v>
      </c>
      <c r="AN29" s="850">
        <f>SUMIFS(NFI_Household,NFI_Township,Z29,NFI_Solar_Lantern_Track,"&lt;&gt;0" )</f>
        <v>0</v>
      </c>
    </row>
    <row r="30" spans="2:41" s="645" customFormat="1" x14ac:dyDescent="0.25">
      <c r="B30" s="946" t="s">
        <v>575</v>
      </c>
      <c r="C30" s="88">
        <v>60</v>
      </c>
      <c r="D30" s="88">
        <v>60</v>
      </c>
      <c r="E30" s="88">
        <v>0</v>
      </c>
      <c r="F30" s="88">
        <v>0</v>
      </c>
      <c r="G30" s="88">
        <v>0</v>
      </c>
      <c r="H30" s="88">
        <v>60</v>
      </c>
      <c r="I30" s="88">
        <v>0</v>
      </c>
      <c r="J30" s="88">
        <v>0</v>
      </c>
      <c r="K30" s="88">
        <v>0</v>
      </c>
      <c r="L30" s="88">
        <v>54</v>
      </c>
      <c r="M30" s="88">
        <v>0</v>
      </c>
      <c r="N30" s="88">
        <v>0</v>
      </c>
      <c r="O30"/>
      <c r="P30"/>
      <c r="Q30"/>
      <c r="R30"/>
      <c r="S30"/>
      <c r="T30"/>
      <c r="Z30" s="846" t="s">
        <v>13</v>
      </c>
      <c r="AA30" s="850">
        <f>SUMIFS(Camplist_HH,Camplist_Township,'NFI Distribution by 12 Months'!$Z30,CampList_Status,"Open")</f>
        <v>5124</v>
      </c>
      <c r="AB30" s="850">
        <f>SUMIFS(Camplist_Popl,Camplist_Township,'NFI Distribution by 12 Months'!$Z30,CampList_Status,"Open")</f>
        <v>22299</v>
      </c>
      <c r="AC30" s="850">
        <f>SUMIFS(NFI_Household,NFI_Township,Z30,NFI_Mosquito_Track,"&lt;&gt;0" )</f>
        <v>5772</v>
      </c>
      <c r="AD30" s="850">
        <f>SUMIFS(NFI_Household,NFI_Township,Z30,NFI_Tarpaulin_Track,"&lt;&gt;0" )</f>
        <v>1299</v>
      </c>
      <c r="AE30" s="850">
        <f>SUMIFS(NFI_Household,NFI_Township,Z30,NFI_Blanket_Track,"&lt;&gt;0" )</f>
        <v>5780</v>
      </c>
      <c r="AF30" s="850">
        <f>SUMIFS(NFI_Household,NFI_Township,Z30,NFI_Kitchen_Track,"&lt;&gt;0" )</f>
        <v>4531</v>
      </c>
      <c r="AG30" s="850">
        <f>SUMIFS(NFI_Household,NFI_Township,Z30,NFI_Complementary_Track,"&lt;&gt;0" )</f>
        <v>0</v>
      </c>
      <c r="AH30" s="850">
        <f>SUMIFS(NFI_Household,NFI_Township,Z30,NFI_Plastic_Bucket_Track,"&lt;&gt;0" )</f>
        <v>50</v>
      </c>
      <c r="AI30" s="850">
        <f>SUMIFS(NFI_Household,NFI_Township,Z30,NFI_JerryCan_Track,"&lt;&gt;0" )</f>
        <v>50</v>
      </c>
      <c r="AJ30" s="850">
        <f>SUMIFS(NFI_Household,NFI_Township,Z30,NFI_Plastic_Mat_Track,"&lt;&gt;0" )</f>
        <v>4573</v>
      </c>
      <c r="AK30" s="850">
        <f>SUMIFS(NFI_Household,NFI_Township,Z30,NFI_Adult_Clothes_Track,"&lt;&gt;0" )</f>
        <v>211</v>
      </c>
      <c r="AL30" s="850">
        <f>SUMIFS(NFI_Household,NFI_Township,Z30,NFI_Children_Clothes_Track,"&lt;&gt;0" )</f>
        <v>211</v>
      </c>
      <c r="AM30" s="850">
        <f>SUMIFS(NFI_Household,NFI_Township,Z30,NFI_Sewing_Kit_Track,"&lt;&gt;0" )</f>
        <v>0</v>
      </c>
      <c r="AN30" s="850">
        <f>SUMIFS(NFI_Household,NFI_Township,Z30,NFI_Solar_Lantern_Track,"&lt;&gt;0" )</f>
        <v>42</v>
      </c>
    </row>
    <row r="31" spans="2:41" s="645" customFormat="1" x14ac:dyDescent="0.25">
      <c r="B31" s="946" t="s">
        <v>1027</v>
      </c>
      <c r="C31" s="88">
        <v>150</v>
      </c>
      <c r="D31" s="88">
        <v>0</v>
      </c>
      <c r="E31" s="88">
        <v>0</v>
      </c>
      <c r="F31" s="88">
        <v>0</v>
      </c>
      <c r="G31" s="88">
        <v>0</v>
      </c>
      <c r="H31" s="88">
        <v>0</v>
      </c>
      <c r="I31" s="88">
        <v>0</v>
      </c>
      <c r="J31" s="88">
        <v>0</v>
      </c>
      <c r="K31" s="88">
        <v>0</v>
      </c>
      <c r="L31" s="88">
        <v>0</v>
      </c>
      <c r="M31" s="88">
        <v>0</v>
      </c>
      <c r="N31" s="88">
        <v>0</v>
      </c>
      <c r="O31"/>
      <c r="P31"/>
      <c r="Q31"/>
      <c r="R31"/>
      <c r="S31"/>
      <c r="T31"/>
      <c r="Z31" s="846" t="s">
        <v>15</v>
      </c>
      <c r="AA31" s="850">
        <f>SUMIFS(Camplist_HH,Camplist_Township,'NFI Distribution by 12 Months'!$Z31,CampList_Status,"Open")</f>
        <v>0</v>
      </c>
      <c r="AB31" s="850">
        <f>SUMIFS(Camplist_Popl,Camplist_Township,'NFI Distribution by 12 Months'!$Z31,CampList_Status,"Open")</f>
        <v>0</v>
      </c>
      <c r="AC31" s="850">
        <f>SUMIFS(NFI_Household,NFI_Township,Z31,NFI_Mosquito_Track,"&lt;&gt;0" )</f>
        <v>0</v>
      </c>
      <c r="AD31" s="850">
        <f>SUMIFS(NFI_Household,NFI_Township,Z31,NFI_Tarpaulin_Track,"&lt;&gt;0" )</f>
        <v>0</v>
      </c>
      <c r="AE31" s="850">
        <f>SUMIFS(NFI_Household,NFI_Township,Z31,NFI_Blanket_Track,"&lt;&gt;0" )</f>
        <v>0</v>
      </c>
      <c r="AF31" s="850">
        <f>SUMIFS(NFI_Household,NFI_Township,Z31,NFI_Kitchen_Track,"&lt;&gt;0" )</f>
        <v>0</v>
      </c>
      <c r="AG31" s="850">
        <f>SUMIFS(NFI_Household,NFI_Township,Z31,NFI_Complementary_Track,"&lt;&gt;0" )</f>
        <v>0</v>
      </c>
      <c r="AH31" s="850">
        <f>SUMIFS(NFI_Household,NFI_Township,Z31,NFI_Plastic_Bucket_Track,"&lt;&gt;0" )</f>
        <v>0</v>
      </c>
      <c r="AI31" s="850">
        <f>SUMIFS(NFI_Household,NFI_Township,Z31,NFI_JerryCan_Track,"&lt;&gt;0" )</f>
        <v>0</v>
      </c>
      <c r="AJ31" s="850">
        <f>SUMIFS(NFI_Household,NFI_Township,Z31,NFI_Plastic_Mat_Track,"&lt;&gt;0" )</f>
        <v>0</v>
      </c>
      <c r="AK31" s="850">
        <f>SUMIFS(NFI_Household,NFI_Township,Z31,NFI_Adult_Clothes_Track,"&lt;&gt;0" )</f>
        <v>0</v>
      </c>
      <c r="AL31" s="850">
        <f>SUMIFS(NFI_Household,NFI_Township,Z31,NFI_Children_Clothes_Track,"&lt;&gt;0" )</f>
        <v>0</v>
      </c>
      <c r="AM31" s="850">
        <f>SUMIFS(NFI_Household,NFI_Township,Z31,NFI_Sewing_Kit_Track,"&lt;&gt;0" )</f>
        <v>0</v>
      </c>
      <c r="AN31" s="850">
        <f>SUMIFS(NFI_Household,NFI_Township,Z31,NFI_Solar_Lantern_Track,"&lt;&gt;0" )</f>
        <v>0</v>
      </c>
    </row>
    <row r="32" spans="2:41" s="645" customFormat="1" x14ac:dyDescent="0.25">
      <c r="B32" s="946" t="s">
        <v>904</v>
      </c>
      <c r="C32" s="88">
        <v>202</v>
      </c>
      <c r="D32" s="88">
        <v>0</v>
      </c>
      <c r="E32" s="88">
        <v>202</v>
      </c>
      <c r="F32" s="88">
        <v>16</v>
      </c>
      <c r="G32" s="88">
        <v>0</v>
      </c>
      <c r="H32" s="88">
        <v>0</v>
      </c>
      <c r="I32" s="88">
        <v>0</v>
      </c>
      <c r="J32" s="88">
        <v>0</v>
      </c>
      <c r="K32" s="88">
        <v>0</v>
      </c>
      <c r="L32" s="88">
        <v>349</v>
      </c>
      <c r="M32" s="88">
        <v>0</v>
      </c>
      <c r="N32" s="88">
        <v>0</v>
      </c>
      <c r="O32"/>
      <c r="P32"/>
      <c r="Q32"/>
      <c r="R32"/>
      <c r="S32"/>
      <c r="T32"/>
      <c r="Z32" s="846" t="s">
        <v>17</v>
      </c>
      <c r="AA32" s="850">
        <f>SUMIFS(Camplist_HH,Camplist_Township,'NFI Distribution by 12 Months'!$Z32,CampList_Status,"Open")</f>
        <v>18819</v>
      </c>
      <c r="AB32" s="850">
        <f>SUMIFS(Camplist_Popl,Camplist_Township,'NFI Distribution by 12 Months'!$Z32,CampList_Status,"Open")</f>
        <v>100848</v>
      </c>
      <c r="AC32" s="850">
        <f>SUMIFS(NFI_Household,NFI_Township,Z32,NFI_Mosquito_Track,"&lt;&gt;0" )</f>
        <v>5298</v>
      </c>
      <c r="AD32" s="850">
        <f>SUMIFS(NFI_Household,NFI_Township,Z32,NFI_Tarpaulin_Track,"&lt;&gt;0" )</f>
        <v>5004</v>
      </c>
      <c r="AE32" s="850">
        <f>SUMIFS(NFI_Household,NFI_Township,Z32,NFI_Blanket_Track,"&lt;&gt;0" )</f>
        <v>4102</v>
      </c>
      <c r="AF32" s="850">
        <f>SUMIFS(NFI_Household,NFI_Township,Z32,NFI_Kitchen_Track,"&lt;&gt;0" )</f>
        <v>6420</v>
      </c>
      <c r="AG32" s="850">
        <f>SUMIFS(NFI_Household,NFI_Township,Z32,NFI_Complementary_Track,"&lt;&gt;0" )</f>
        <v>728</v>
      </c>
      <c r="AH32" s="850">
        <f>SUMIFS(NFI_Household,NFI_Township,Z32,NFI_Plastic_Bucket_Track,"&lt;&gt;0" )</f>
        <v>0</v>
      </c>
      <c r="AI32" s="850">
        <f>SUMIFS(NFI_Household,NFI_Township,Z32,NFI_JerryCan_Track,"&lt;&gt;0" )</f>
        <v>0</v>
      </c>
      <c r="AJ32" s="850">
        <f>SUMIFS(NFI_Household,NFI_Township,Z32,NFI_Plastic_Mat_Track,"&lt;&gt;0" )</f>
        <v>4137</v>
      </c>
      <c r="AK32" s="850">
        <f>SUMIFS(NFI_Household,NFI_Township,Z32,NFI_Adult_Clothes_Track,"&lt;&gt;0" )</f>
        <v>641</v>
      </c>
      <c r="AL32" s="850">
        <f>SUMIFS(NFI_Household,NFI_Township,Z32,NFI_Children_Clothes_Track,"&lt;&gt;0" )</f>
        <v>1683</v>
      </c>
      <c r="AM32" s="850">
        <f>SUMIFS(NFI_Household,NFI_Township,Z32,NFI_Sewing_Kit_Track,"&lt;&gt;0" )</f>
        <v>0</v>
      </c>
      <c r="AN32" s="850">
        <f>SUMIFS(NFI_Household,NFI_Township,Z32,NFI_Solar_Lantern_Track,"&lt;&gt;0" )</f>
        <v>666</v>
      </c>
    </row>
    <row r="33" spans="2:50" s="645" customFormat="1" x14ac:dyDescent="0.25">
      <c r="B33" s="946" t="s">
        <v>1035</v>
      </c>
      <c r="C33" s="88">
        <v>0</v>
      </c>
      <c r="D33" s="88">
        <v>0</v>
      </c>
      <c r="E33" s="88">
        <v>0</v>
      </c>
      <c r="F33" s="88">
        <v>0</v>
      </c>
      <c r="G33" s="88">
        <v>0</v>
      </c>
      <c r="H33" s="88">
        <v>0</v>
      </c>
      <c r="I33" s="88">
        <v>0</v>
      </c>
      <c r="J33" s="88">
        <v>0</v>
      </c>
      <c r="K33" s="88">
        <v>0</v>
      </c>
      <c r="L33" s="88">
        <v>0</v>
      </c>
      <c r="M33" s="88">
        <v>1440</v>
      </c>
      <c r="N33" s="88">
        <v>0</v>
      </c>
      <c r="O33"/>
      <c r="P33"/>
      <c r="Q33"/>
      <c r="R33"/>
      <c r="S33"/>
      <c r="T33"/>
      <c r="Z33" s="851" t="s">
        <v>5</v>
      </c>
      <c r="AA33" s="852">
        <f t="shared" ref="AA33:AN33" si="2">SUM(AA28:AA32)</f>
        <v>24683</v>
      </c>
      <c r="AB33" s="852">
        <f t="shared" si="2"/>
        <v>126383</v>
      </c>
      <c r="AC33" s="852">
        <f t="shared" si="2"/>
        <v>11070</v>
      </c>
      <c r="AD33" s="852">
        <f t="shared" si="2"/>
        <v>6940</v>
      </c>
      <c r="AE33" s="852">
        <f t="shared" si="2"/>
        <v>9882</v>
      </c>
      <c r="AF33" s="852">
        <f t="shared" si="2"/>
        <v>10951</v>
      </c>
      <c r="AG33" s="852">
        <f t="shared" si="2"/>
        <v>728</v>
      </c>
      <c r="AH33" s="852">
        <f t="shared" si="2"/>
        <v>50</v>
      </c>
      <c r="AI33" s="852">
        <f t="shared" si="2"/>
        <v>50</v>
      </c>
      <c r="AJ33" s="852">
        <f t="shared" si="2"/>
        <v>8710</v>
      </c>
      <c r="AK33" s="852">
        <f t="shared" si="2"/>
        <v>852</v>
      </c>
      <c r="AL33" s="852">
        <f t="shared" si="2"/>
        <v>1894</v>
      </c>
      <c r="AM33" s="852">
        <f t="shared" si="2"/>
        <v>0</v>
      </c>
      <c r="AN33" s="852">
        <f t="shared" si="2"/>
        <v>708</v>
      </c>
    </row>
    <row r="34" spans="2:50" s="645" customFormat="1" x14ac:dyDescent="0.25">
      <c r="B34" s="946" t="s">
        <v>1016</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5" customFormat="1" x14ac:dyDescent="0.25">
      <c r="B35" s="946" t="s">
        <v>270</v>
      </c>
      <c r="C35" s="88">
        <v>16657</v>
      </c>
      <c r="D35" s="88">
        <v>6116</v>
      </c>
      <c r="E35" s="88">
        <v>16757</v>
      </c>
      <c r="F35" s="88">
        <v>9731</v>
      </c>
      <c r="G35" s="88">
        <v>0</v>
      </c>
      <c r="H35" s="88">
        <v>87556.5</v>
      </c>
      <c r="I35" s="88">
        <v>0</v>
      </c>
      <c r="J35" s="88">
        <v>0</v>
      </c>
      <c r="K35" s="88">
        <v>0</v>
      </c>
      <c r="L35" s="88">
        <v>0</v>
      </c>
      <c r="M35" s="88">
        <v>0</v>
      </c>
      <c r="N35" s="88">
        <v>0</v>
      </c>
      <c r="O35"/>
      <c r="P35"/>
      <c r="Q35"/>
      <c r="R35"/>
      <c r="S35"/>
      <c r="T35"/>
    </row>
    <row r="36" spans="2:50" s="645" customFormat="1" x14ac:dyDescent="0.25">
      <c r="B36" s="946" t="s">
        <v>272</v>
      </c>
      <c r="C36" s="88">
        <v>0</v>
      </c>
      <c r="D36" s="88">
        <v>0</v>
      </c>
      <c r="E36" s="88">
        <v>0</v>
      </c>
      <c r="F36" s="88">
        <v>0</v>
      </c>
      <c r="G36" s="88">
        <v>0</v>
      </c>
      <c r="H36" s="88">
        <v>0</v>
      </c>
      <c r="I36" s="88">
        <v>0</v>
      </c>
      <c r="J36" s="88">
        <v>0</v>
      </c>
      <c r="K36" s="88">
        <v>0</v>
      </c>
      <c r="L36" s="88">
        <v>0</v>
      </c>
      <c r="M36" s="88">
        <v>0</v>
      </c>
      <c r="N36" s="88">
        <v>0</v>
      </c>
      <c r="O36"/>
      <c r="P36"/>
      <c r="Q36"/>
      <c r="R36"/>
      <c r="S36"/>
      <c r="T36"/>
    </row>
    <row r="37" spans="2:50" s="645" customFormat="1" x14ac:dyDescent="0.25">
      <c r="B37" s="946" t="s">
        <v>1119</v>
      </c>
      <c r="C37" s="88">
        <v>0</v>
      </c>
      <c r="D37" s="88">
        <v>0</v>
      </c>
      <c r="E37" s="88">
        <v>0</v>
      </c>
      <c r="F37" s="88">
        <v>0</v>
      </c>
      <c r="G37" s="88">
        <v>0</v>
      </c>
      <c r="H37" s="88">
        <v>0</v>
      </c>
      <c r="I37" s="88">
        <v>0</v>
      </c>
      <c r="J37" s="88">
        <v>0</v>
      </c>
      <c r="K37" s="88">
        <v>0</v>
      </c>
      <c r="L37" s="88">
        <v>0</v>
      </c>
      <c r="M37" s="88">
        <v>28502</v>
      </c>
      <c r="N37" s="88">
        <v>0</v>
      </c>
      <c r="O37"/>
      <c r="P37"/>
      <c r="Q37"/>
      <c r="R37"/>
      <c r="S37"/>
      <c r="T37"/>
    </row>
    <row r="38" spans="2:50" s="645" customFormat="1" x14ac:dyDescent="0.25">
      <c r="B38" s="946" t="s">
        <v>282</v>
      </c>
      <c r="C38" s="88">
        <v>600</v>
      </c>
      <c r="D38" s="88">
        <v>0</v>
      </c>
      <c r="E38" s="88">
        <v>0</v>
      </c>
      <c r="F38" s="88">
        <v>300</v>
      </c>
      <c r="G38" s="88">
        <v>0</v>
      </c>
      <c r="H38" s="88">
        <v>300</v>
      </c>
      <c r="I38" s="88">
        <v>0</v>
      </c>
      <c r="J38" s="88">
        <v>1174</v>
      </c>
      <c r="K38" s="88">
        <v>0</v>
      </c>
      <c r="L38" s="88">
        <v>300</v>
      </c>
      <c r="M38" s="88">
        <v>0</v>
      </c>
      <c r="N38" s="88">
        <v>0</v>
      </c>
      <c r="O38"/>
      <c r="P38"/>
      <c r="Q38"/>
      <c r="R38"/>
      <c r="S38"/>
      <c r="T38"/>
    </row>
    <row r="39" spans="2:50" s="645" customFormat="1" x14ac:dyDescent="0.25">
      <c r="B39" s="822" t="s">
        <v>204</v>
      </c>
      <c r="C39" s="1086">
        <v>21102</v>
      </c>
      <c r="D39" s="1086">
        <v>9041</v>
      </c>
      <c r="E39" s="1086">
        <v>18208</v>
      </c>
      <c r="F39" s="1086">
        <v>10775</v>
      </c>
      <c r="G39" s="1086">
        <v>2184</v>
      </c>
      <c r="H39" s="1087">
        <v>87916.5</v>
      </c>
      <c r="I39" s="1086">
        <v>852</v>
      </c>
      <c r="J39" s="1086">
        <v>1437</v>
      </c>
      <c r="K39" s="1086">
        <v>0</v>
      </c>
      <c r="L39" s="1086">
        <v>703</v>
      </c>
      <c r="M39" s="1086">
        <v>29942</v>
      </c>
      <c r="N39" s="1086">
        <v>264</v>
      </c>
      <c r="O39"/>
      <c r="P39"/>
      <c r="Q39"/>
      <c r="R39"/>
      <c r="S39"/>
      <c r="T39"/>
      <c r="Z39" s="39" t="s">
        <v>1123</v>
      </c>
      <c r="AA39"/>
      <c r="AB39"/>
      <c r="AC39"/>
      <c r="AD39"/>
      <c r="AE39"/>
      <c r="AF39"/>
      <c r="AG39"/>
      <c r="AH39"/>
      <c r="AI39"/>
      <c r="AJ39"/>
      <c r="AK39"/>
      <c r="AL39"/>
      <c r="AM39"/>
      <c r="AN39"/>
      <c r="AO39"/>
      <c r="AP39"/>
      <c r="AQ39"/>
      <c r="AR39"/>
      <c r="AS39"/>
      <c r="AT39"/>
      <c r="AU39"/>
      <c r="AV39"/>
      <c r="AW39"/>
      <c r="AX39"/>
    </row>
    <row r="40" spans="2:50" s="645" customFormat="1" x14ac:dyDescent="0.25">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5" customFormat="1" x14ac:dyDescent="0.25">
      <c r="B41"/>
      <c r="C41"/>
      <c r="D41"/>
      <c r="E41"/>
      <c r="F41"/>
      <c r="G41"/>
      <c r="H41"/>
      <c r="I41"/>
      <c r="J41"/>
      <c r="K41"/>
      <c r="L41"/>
      <c r="M41"/>
      <c r="N41"/>
      <c r="O41"/>
      <c r="P41"/>
      <c r="Q41"/>
      <c r="R41"/>
      <c r="S41"/>
      <c r="T41"/>
      <c r="Z41" s="645" t="s">
        <v>561</v>
      </c>
      <c r="AA41" s="645" t="s">
        <v>270</v>
      </c>
      <c r="AB41" s="4"/>
      <c r="AC41"/>
      <c r="AD41"/>
      <c r="AE41"/>
      <c r="AF41"/>
      <c r="AG41"/>
      <c r="AH41"/>
      <c r="AI41"/>
      <c r="AJ41"/>
      <c r="AK41"/>
      <c r="AL41"/>
      <c r="AM41"/>
      <c r="AN41"/>
      <c r="AO41"/>
      <c r="AP41"/>
      <c r="AQ41"/>
      <c r="AR41"/>
      <c r="AS41"/>
      <c r="AT41"/>
      <c r="AU41"/>
      <c r="AV41"/>
      <c r="AW41"/>
      <c r="AX41"/>
    </row>
    <row r="42" spans="2:50" s="645" customFormat="1" x14ac:dyDescent="0.25">
      <c r="B42"/>
      <c r="C42"/>
      <c r="D42"/>
      <c r="E42"/>
      <c r="F42"/>
      <c r="G42"/>
      <c r="H42"/>
      <c r="I42"/>
      <c r="J42"/>
      <c r="K42"/>
      <c r="L42"/>
      <c r="M42"/>
      <c r="N42"/>
      <c r="Z42"/>
      <c r="AA42" s="645" t="s">
        <v>272</v>
      </c>
      <c r="AB42" s="4"/>
      <c r="AC42"/>
      <c r="AD42"/>
      <c r="AE42"/>
      <c r="AF42"/>
      <c r="AG42"/>
      <c r="AH42"/>
      <c r="AI42"/>
      <c r="AJ42"/>
      <c r="AK42"/>
      <c r="AL42"/>
      <c r="AM42"/>
      <c r="AN42"/>
      <c r="AO42"/>
      <c r="AP42"/>
      <c r="AQ42"/>
      <c r="AR42"/>
      <c r="AS42"/>
      <c r="AT42"/>
      <c r="AU42"/>
      <c r="AV42"/>
      <c r="AW42"/>
      <c r="AX42"/>
    </row>
    <row r="43" spans="2:50" s="645" customFormat="1" x14ac:dyDescent="0.25">
      <c r="B43"/>
      <c r="C43"/>
      <c r="D43"/>
      <c r="E43"/>
      <c r="F43"/>
      <c r="G43"/>
      <c r="H43"/>
      <c r="I43"/>
      <c r="J43"/>
      <c r="K43"/>
      <c r="L43"/>
      <c r="M43"/>
      <c r="N43"/>
      <c r="Z43" s="645" t="s">
        <v>933</v>
      </c>
      <c r="AB43" s="4"/>
      <c r="AC43"/>
      <c r="AD43"/>
      <c r="AE43"/>
      <c r="AF43"/>
      <c r="AG43"/>
      <c r="AH43"/>
      <c r="AI43"/>
      <c r="AJ43"/>
      <c r="AK43"/>
      <c r="AL43"/>
      <c r="AM43"/>
      <c r="AN43"/>
      <c r="AO43"/>
      <c r="AP43"/>
      <c r="AQ43"/>
      <c r="AR43"/>
      <c r="AS43"/>
      <c r="AT43"/>
      <c r="AU43"/>
      <c r="AV43"/>
      <c r="AW43"/>
      <c r="AX43"/>
    </row>
    <row r="44" spans="2:50" s="645" customFormat="1" x14ac:dyDescent="0.25">
      <c r="B44"/>
      <c r="C44"/>
      <c r="D44"/>
      <c r="E44"/>
      <c r="F44"/>
      <c r="G44"/>
      <c r="H44"/>
      <c r="I44"/>
      <c r="J44"/>
      <c r="K44"/>
      <c r="L44"/>
      <c r="M44"/>
      <c r="N44"/>
      <c r="Z44" s="645" t="s">
        <v>14</v>
      </c>
      <c r="AA44" s="645" t="s">
        <v>474</v>
      </c>
      <c r="AB44" s="4"/>
      <c r="AC44"/>
      <c r="AD44"/>
      <c r="AE44"/>
      <c r="AF44"/>
      <c r="AG44"/>
      <c r="AH44"/>
      <c r="AI44"/>
      <c r="AJ44"/>
      <c r="AK44"/>
      <c r="AL44"/>
      <c r="AM44"/>
      <c r="AN44"/>
      <c r="AO44"/>
      <c r="AP44"/>
      <c r="AQ44"/>
      <c r="AR44"/>
      <c r="AS44"/>
      <c r="AT44"/>
      <c r="AU44"/>
      <c r="AV44"/>
      <c r="AW44"/>
      <c r="AX44"/>
    </row>
    <row r="45" spans="2:50" s="645" customFormat="1" x14ac:dyDescent="0.25">
      <c r="B45"/>
      <c r="C45"/>
      <c r="D45"/>
      <c r="E45"/>
      <c r="F45"/>
      <c r="G45"/>
      <c r="H45"/>
      <c r="I45"/>
      <c r="J45"/>
      <c r="K45"/>
      <c r="L45"/>
      <c r="M45"/>
      <c r="N45"/>
      <c r="Z45"/>
      <c r="AA45" s="645" t="s">
        <v>270</v>
      </c>
      <c r="AB45" s="4">
        <v>500</v>
      </c>
      <c r="AC45"/>
      <c r="AD45"/>
      <c r="AE45"/>
      <c r="AF45"/>
      <c r="AG45"/>
      <c r="AH45"/>
      <c r="AI45"/>
      <c r="AJ45"/>
      <c r="AK45"/>
      <c r="AL45"/>
      <c r="AM45"/>
      <c r="AN45"/>
      <c r="AO45"/>
      <c r="AP45"/>
      <c r="AQ45"/>
      <c r="AR45"/>
      <c r="AS45"/>
      <c r="AT45"/>
      <c r="AU45"/>
      <c r="AV45"/>
      <c r="AW45"/>
      <c r="AX45"/>
    </row>
    <row r="46" spans="2:50" s="645" customFormat="1" x14ac:dyDescent="0.25">
      <c r="B46"/>
      <c r="C46"/>
      <c r="D46"/>
      <c r="E46"/>
      <c r="F46"/>
      <c r="G46"/>
      <c r="H46"/>
      <c r="I46"/>
      <c r="J46"/>
      <c r="K46"/>
      <c r="L46"/>
      <c r="M46"/>
      <c r="N46"/>
      <c r="Z46" s="645" t="s">
        <v>911</v>
      </c>
      <c r="AB46" s="4">
        <v>500</v>
      </c>
      <c r="AC46"/>
      <c r="AD46"/>
      <c r="AE46"/>
      <c r="AF46"/>
      <c r="AG46"/>
      <c r="AH46"/>
      <c r="AI46"/>
      <c r="AJ46"/>
      <c r="AK46"/>
      <c r="AL46"/>
      <c r="AM46"/>
      <c r="AN46"/>
      <c r="AO46"/>
      <c r="AP46"/>
      <c r="AQ46"/>
      <c r="AR46"/>
      <c r="AS46"/>
      <c r="AT46"/>
      <c r="AU46"/>
      <c r="AV46"/>
      <c r="AW46"/>
      <c r="AX46"/>
    </row>
    <row r="47" spans="2:50" s="645" customFormat="1" ht="23.25" customHeight="1" x14ac:dyDescent="0.25">
      <c r="B47" s="39" t="s">
        <v>745</v>
      </c>
      <c r="C47" s="645" t="s">
        <v>716</v>
      </c>
      <c r="D47" s="1243" t="s">
        <v>1130</v>
      </c>
      <c r="E47" s="1244"/>
      <c r="F47" s="1244"/>
      <c r="G47" s="1244"/>
      <c r="H47" s="1244"/>
      <c r="I47" s="1244"/>
      <c r="J47" s="1244"/>
      <c r="K47" s="1244"/>
      <c r="L47" s="1244"/>
      <c r="M47" s="1244"/>
      <c r="N47" s="1244"/>
      <c r="Z47" s="645" t="s">
        <v>18</v>
      </c>
      <c r="AA47" s="645" t="s">
        <v>825</v>
      </c>
      <c r="AB47" s="4"/>
      <c r="AC47"/>
      <c r="AD47"/>
      <c r="AE47"/>
      <c r="AF47"/>
      <c r="AG47"/>
      <c r="AH47"/>
      <c r="AI47"/>
      <c r="AJ47"/>
      <c r="AK47"/>
      <c r="AL47"/>
      <c r="AM47"/>
      <c r="AN47"/>
      <c r="AO47"/>
      <c r="AP47"/>
      <c r="AQ47"/>
      <c r="AR47"/>
      <c r="AS47"/>
      <c r="AT47"/>
      <c r="AU47"/>
      <c r="AV47"/>
      <c r="AW47"/>
      <c r="AX47"/>
    </row>
    <row r="48" spans="2:50" s="645" customFormat="1" ht="30" customHeight="1" x14ac:dyDescent="0.25">
      <c r="C48" s="847" t="s">
        <v>309</v>
      </c>
      <c r="D48" s="847" t="s">
        <v>286</v>
      </c>
      <c r="E48" s="847" t="s">
        <v>218</v>
      </c>
      <c r="F48" s="847" t="s">
        <v>219</v>
      </c>
      <c r="G48" s="847" t="s">
        <v>314</v>
      </c>
      <c r="H48" s="847" t="s">
        <v>536</v>
      </c>
      <c r="I48" s="847" t="s">
        <v>1013</v>
      </c>
      <c r="J48" s="847" t="s">
        <v>1014</v>
      </c>
      <c r="K48" s="847" t="s">
        <v>1015</v>
      </c>
      <c r="L48" s="847" t="s">
        <v>1043</v>
      </c>
      <c r="M48" s="847" t="s">
        <v>1122</v>
      </c>
      <c r="N48" s="847" t="s">
        <v>1146</v>
      </c>
      <c r="Z48"/>
      <c r="AA48" s="645" t="s">
        <v>270</v>
      </c>
      <c r="AB48" s="4"/>
      <c r="AC48"/>
      <c r="AD48"/>
      <c r="AE48"/>
      <c r="AF48"/>
      <c r="AG48"/>
      <c r="AH48"/>
      <c r="AI48"/>
      <c r="AJ48"/>
      <c r="AK48"/>
      <c r="AL48"/>
      <c r="AM48"/>
      <c r="AN48"/>
      <c r="AO48"/>
      <c r="AP48"/>
      <c r="AQ48"/>
      <c r="AR48"/>
      <c r="AS48"/>
      <c r="AT48"/>
      <c r="AU48"/>
      <c r="AV48"/>
      <c r="AW48"/>
      <c r="AX48"/>
    </row>
    <row r="49" spans="2:50" s="645" customFormat="1" ht="25.5" customHeight="1" x14ac:dyDescent="0.25">
      <c r="B49" s="824" t="s">
        <v>191</v>
      </c>
      <c r="C49" s="849" t="s">
        <v>994</v>
      </c>
      <c r="D49" s="849" t="s">
        <v>994</v>
      </c>
      <c r="E49" s="849" t="s">
        <v>994</v>
      </c>
      <c r="F49" s="849" t="s">
        <v>994</v>
      </c>
      <c r="G49" s="849" t="s">
        <v>994</v>
      </c>
      <c r="H49" s="849" t="s">
        <v>994</v>
      </c>
      <c r="I49" s="849" t="s">
        <v>994</v>
      </c>
      <c r="J49" s="849" t="s">
        <v>994</v>
      </c>
      <c r="K49" s="849" t="s">
        <v>994</v>
      </c>
      <c r="L49" s="849" t="s">
        <v>994</v>
      </c>
      <c r="M49" s="849" t="s">
        <v>994</v>
      </c>
      <c r="N49" s="849" t="s">
        <v>994</v>
      </c>
      <c r="Z49" s="645" t="s">
        <v>597</v>
      </c>
      <c r="AB49" s="4"/>
      <c r="AC49"/>
      <c r="AD49"/>
      <c r="AE49"/>
      <c r="AF49"/>
      <c r="AG49"/>
      <c r="AH49"/>
      <c r="AI49"/>
      <c r="AJ49"/>
      <c r="AK49"/>
      <c r="AL49"/>
      <c r="AM49"/>
      <c r="AN49"/>
      <c r="AO49"/>
      <c r="AP49"/>
      <c r="AQ49"/>
      <c r="AR49"/>
      <c r="AS49"/>
      <c r="AT49"/>
      <c r="AU49"/>
      <c r="AV49"/>
      <c r="AW49"/>
      <c r="AX49"/>
    </row>
    <row r="50" spans="2:50" s="645" customFormat="1" x14ac:dyDescent="0.25">
      <c r="B50" s="855" t="s">
        <v>273</v>
      </c>
      <c r="C50" s="845">
        <f>SUMIFS(NFI_Household,NFI_Org,B50,NFI_Mosquito_Track,"&lt;&gt;0" )</f>
        <v>728</v>
      </c>
      <c r="D50" s="845">
        <f t="shared" ref="D50:D65" si="3">SUMIFS(NFI_Household,NFI_Org,B50,NFI_Tarpaulin_Track,"&lt;&gt;0" )</f>
        <v>808</v>
      </c>
      <c r="E50" s="853">
        <f t="shared" ref="E50:E59" si="4">SUMIFS(NFI_Household,NFI_Org,B50,NFI_Blanket_Track,"&lt;&gt;0" )</f>
        <v>0</v>
      </c>
      <c r="F50" s="853">
        <f t="shared" ref="F50:F59" si="5">SUMIFS(NFI_Household,NFI_Org,B50,NFI_Kitchen_Track,"&lt;&gt;0" )</f>
        <v>728</v>
      </c>
      <c r="G50" s="853">
        <f t="shared" ref="G50:G59" si="6">SUMIFS(NFI_Household,NFI_Org,B50,NFI_Complementary_Track,"&lt;&gt;0" )</f>
        <v>728</v>
      </c>
      <c r="H50" s="853">
        <f t="shared" ref="H50:H65" si="7">SUMIFS(NFI_Household,NFI_Org,B50,NFI_Plastic_Mat_Track,"&lt;&gt;0" )</f>
        <v>0</v>
      </c>
      <c r="I50" s="853">
        <f t="shared" ref="I50:I65" si="8">SUMIFS(NFI_Household,NFI_Org,B50,NFI_Adult_Clothes_Track,"&lt;&gt;0" )</f>
        <v>852</v>
      </c>
      <c r="J50" s="853">
        <f t="shared" ref="J50:J65" si="9">SUMIFS(NFI_Household,NFI_Org,B50,NFI_Children_Clothes_Track,"&lt;&gt;0" )</f>
        <v>852</v>
      </c>
      <c r="K50" s="853">
        <f t="shared" ref="K50:K65" si="10">SUMIFS(NFI_Household,NFI_Org,B50,NFI_Sewing_Kit_Track,"&lt;&gt;0" )</f>
        <v>0</v>
      </c>
      <c r="L50" s="845">
        <f t="shared" ref="L50:L65" si="11">SUMIFS(NFI_Household,NFI_Org,B50,NFI_Solar_Lantern_Track,"&lt;&gt;0" )</f>
        <v>0</v>
      </c>
      <c r="M50" s="845">
        <f>SUMIFS(NFI_Household,NFI_Org,B50,NFI_Core_Track,"&lt;&gt;0" )</f>
        <v>0</v>
      </c>
      <c r="N50" s="845">
        <f t="shared" ref="N50:N67" si="12">SUMIFS(NFI_Household,NFI_Org,B50,Rope_Track_tt,"&gt;=1" )</f>
        <v>264</v>
      </c>
      <c r="Z50" s="645" t="s">
        <v>11</v>
      </c>
      <c r="AA50" s="645" t="s">
        <v>475</v>
      </c>
      <c r="AB50" s="4"/>
      <c r="AC50"/>
      <c r="AD50"/>
      <c r="AE50"/>
      <c r="AF50"/>
      <c r="AG50"/>
      <c r="AH50"/>
      <c r="AI50"/>
      <c r="AJ50"/>
      <c r="AK50"/>
      <c r="AL50"/>
      <c r="AM50"/>
      <c r="AN50"/>
      <c r="AO50"/>
      <c r="AP50"/>
      <c r="AQ50"/>
      <c r="AR50"/>
      <c r="AS50"/>
      <c r="AT50"/>
      <c r="AU50"/>
      <c r="AV50"/>
      <c r="AW50"/>
      <c r="AX50"/>
    </row>
    <row r="51" spans="2:50" s="645" customFormat="1" x14ac:dyDescent="0.25">
      <c r="B51" s="1061" t="s">
        <v>575</v>
      </c>
      <c r="C51" s="845">
        <f t="shared" ref="C51:C65" si="13">SUMIFS(NFI_Household,NFI_Org,B51,NFI_Mosquito_Track,"&lt;&gt;0" )</f>
        <v>60</v>
      </c>
      <c r="D51" s="845">
        <f t="shared" si="3"/>
        <v>40</v>
      </c>
      <c r="E51" s="853">
        <f t="shared" si="4"/>
        <v>0</v>
      </c>
      <c r="F51" s="853">
        <f t="shared" si="5"/>
        <v>0</v>
      </c>
      <c r="G51" s="853">
        <f t="shared" si="6"/>
        <v>0</v>
      </c>
      <c r="H51" s="853">
        <f t="shared" si="7"/>
        <v>60</v>
      </c>
      <c r="I51" s="853">
        <f t="shared" si="8"/>
        <v>0</v>
      </c>
      <c r="J51" s="853">
        <f t="shared" si="9"/>
        <v>0</v>
      </c>
      <c r="K51" s="853">
        <f t="shared" si="10"/>
        <v>0</v>
      </c>
      <c r="L51" s="845">
        <f t="shared" si="11"/>
        <v>60</v>
      </c>
      <c r="M51" s="845">
        <f t="shared" ref="M51:M65" si="14">SUMIFS(NFI_Household,NFI_Org,B51,NFI_Core_Track,"&lt;&gt;0" )</f>
        <v>0</v>
      </c>
      <c r="N51" s="845">
        <f t="shared" si="12"/>
        <v>0</v>
      </c>
      <c r="Z51"/>
      <c r="AA51" s="645" t="s">
        <v>270</v>
      </c>
      <c r="AB51" s="4"/>
      <c r="AC51"/>
      <c r="AD51"/>
      <c r="AE51"/>
      <c r="AF51"/>
      <c r="AG51"/>
      <c r="AH51"/>
      <c r="AI51"/>
      <c r="AJ51"/>
      <c r="AK51"/>
      <c r="AL51"/>
      <c r="AM51"/>
      <c r="AN51"/>
      <c r="AO51"/>
      <c r="AP51"/>
      <c r="AQ51"/>
      <c r="AR51"/>
      <c r="AS51"/>
      <c r="AT51"/>
      <c r="AU51"/>
      <c r="AV51"/>
      <c r="AW51"/>
      <c r="AX51"/>
    </row>
    <row r="52" spans="2:50" s="645" customFormat="1" x14ac:dyDescent="0.25">
      <c r="B52" s="855" t="s">
        <v>1027</v>
      </c>
      <c r="C52" s="845">
        <f t="shared" si="13"/>
        <v>150</v>
      </c>
      <c r="D52" s="845">
        <f t="shared" si="3"/>
        <v>0</v>
      </c>
      <c r="E52" s="853">
        <f t="shared" si="4"/>
        <v>0</v>
      </c>
      <c r="F52" s="853">
        <f t="shared" si="5"/>
        <v>0</v>
      </c>
      <c r="G52" s="853">
        <f t="shared" si="6"/>
        <v>0</v>
      </c>
      <c r="H52" s="853">
        <f t="shared" si="7"/>
        <v>0</v>
      </c>
      <c r="I52" s="853">
        <f t="shared" si="8"/>
        <v>0</v>
      </c>
      <c r="J52" s="853">
        <f t="shared" si="9"/>
        <v>0</v>
      </c>
      <c r="K52" s="853">
        <f t="shared" si="10"/>
        <v>0</v>
      </c>
      <c r="L52" s="845">
        <f t="shared" si="11"/>
        <v>0</v>
      </c>
      <c r="M52" s="845">
        <f t="shared" si="14"/>
        <v>0</v>
      </c>
      <c r="N52" s="845">
        <f t="shared" si="12"/>
        <v>0</v>
      </c>
      <c r="Z52"/>
      <c r="AA52" s="645" t="s">
        <v>272</v>
      </c>
      <c r="AB52" s="4"/>
      <c r="AC52"/>
      <c r="AD52"/>
      <c r="AE52"/>
      <c r="AF52"/>
      <c r="AG52"/>
      <c r="AH52"/>
      <c r="AI52"/>
      <c r="AJ52"/>
      <c r="AK52"/>
      <c r="AL52"/>
      <c r="AM52"/>
      <c r="AN52"/>
      <c r="AO52"/>
      <c r="AP52"/>
      <c r="AQ52"/>
      <c r="AR52"/>
      <c r="AS52"/>
      <c r="AT52"/>
      <c r="AU52"/>
      <c r="AV52"/>
      <c r="AW52"/>
      <c r="AX52"/>
    </row>
    <row r="53" spans="2:50" s="645" customFormat="1" x14ac:dyDescent="0.25">
      <c r="B53" s="855" t="s">
        <v>904</v>
      </c>
      <c r="C53" s="845">
        <f t="shared" si="13"/>
        <v>283</v>
      </c>
      <c r="D53" s="845">
        <f t="shared" si="3"/>
        <v>0</v>
      </c>
      <c r="E53" s="853">
        <f t="shared" si="4"/>
        <v>283</v>
      </c>
      <c r="F53" s="853">
        <f t="shared" si="5"/>
        <v>283</v>
      </c>
      <c r="G53" s="853">
        <f t="shared" si="6"/>
        <v>0</v>
      </c>
      <c r="H53" s="853">
        <f t="shared" si="7"/>
        <v>0</v>
      </c>
      <c r="I53" s="853">
        <f t="shared" si="8"/>
        <v>0</v>
      </c>
      <c r="J53" s="853">
        <f t="shared" si="9"/>
        <v>0</v>
      </c>
      <c r="K53" s="853">
        <f t="shared" si="10"/>
        <v>0</v>
      </c>
      <c r="L53" s="845">
        <f t="shared" si="11"/>
        <v>348</v>
      </c>
      <c r="M53" s="845">
        <f t="shared" si="14"/>
        <v>0</v>
      </c>
      <c r="N53" s="845">
        <f t="shared" si="12"/>
        <v>0</v>
      </c>
      <c r="Z53" s="645" t="s">
        <v>940</v>
      </c>
      <c r="AB53" s="4"/>
      <c r="AC53"/>
      <c r="AD53"/>
      <c r="AE53"/>
      <c r="AF53"/>
      <c r="AG53"/>
      <c r="AH53"/>
    </row>
    <row r="54" spans="2:50" s="645" customFormat="1" x14ac:dyDescent="0.25">
      <c r="B54" s="855" t="s">
        <v>1035</v>
      </c>
      <c r="C54" s="845">
        <f t="shared" si="13"/>
        <v>0</v>
      </c>
      <c r="D54" s="845">
        <f t="shared" si="3"/>
        <v>0</v>
      </c>
      <c r="E54" s="853">
        <f t="shared" si="4"/>
        <v>0</v>
      </c>
      <c r="F54" s="853">
        <f t="shared" si="5"/>
        <v>0</v>
      </c>
      <c r="G54" s="853">
        <f t="shared" si="6"/>
        <v>0</v>
      </c>
      <c r="H54" s="853">
        <f t="shared" si="7"/>
        <v>0</v>
      </c>
      <c r="I54" s="853">
        <f t="shared" si="8"/>
        <v>0</v>
      </c>
      <c r="J54" s="853">
        <f t="shared" si="9"/>
        <v>0</v>
      </c>
      <c r="K54" s="853">
        <f t="shared" si="10"/>
        <v>0</v>
      </c>
      <c r="L54" s="845">
        <f t="shared" si="11"/>
        <v>0</v>
      </c>
      <c r="M54" s="845">
        <f t="shared" si="14"/>
        <v>720</v>
      </c>
      <c r="N54" s="845">
        <f t="shared" si="12"/>
        <v>0</v>
      </c>
      <c r="Z54" s="645" t="s">
        <v>932</v>
      </c>
      <c r="AA54" s="645" t="s">
        <v>270</v>
      </c>
      <c r="AB54" s="4"/>
      <c r="AC54"/>
      <c r="AD54"/>
      <c r="AE54"/>
      <c r="AF54"/>
      <c r="AG54"/>
      <c r="AH54"/>
    </row>
    <row r="55" spans="2:50" s="645" customFormat="1" x14ac:dyDescent="0.25">
      <c r="B55" s="855" t="s">
        <v>1016</v>
      </c>
      <c r="C55" s="845">
        <f t="shared" si="13"/>
        <v>1249</v>
      </c>
      <c r="D55" s="845">
        <f t="shared" si="3"/>
        <v>1249</v>
      </c>
      <c r="E55" s="853">
        <f t="shared" si="4"/>
        <v>1249</v>
      </c>
      <c r="F55" s="853">
        <f t="shared" si="5"/>
        <v>0</v>
      </c>
      <c r="G55" s="853">
        <f t="shared" si="6"/>
        <v>0</v>
      </c>
      <c r="H55" s="853">
        <f t="shared" si="7"/>
        <v>0</v>
      </c>
      <c r="I55" s="853">
        <f t="shared" si="8"/>
        <v>0</v>
      </c>
      <c r="J55" s="853">
        <f t="shared" si="9"/>
        <v>0</v>
      </c>
      <c r="K55" s="853">
        <f t="shared" si="10"/>
        <v>0</v>
      </c>
      <c r="L55" s="845">
        <f t="shared" si="11"/>
        <v>0</v>
      </c>
      <c r="M55" s="845">
        <f t="shared" si="14"/>
        <v>0</v>
      </c>
      <c r="N55" s="845">
        <f t="shared" si="12"/>
        <v>0</v>
      </c>
      <c r="Z55"/>
      <c r="AA55" s="645" t="s">
        <v>272</v>
      </c>
      <c r="AB55" s="4"/>
      <c r="AC55"/>
      <c r="AD55"/>
      <c r="AE55"/>
      <c r="AF55"/>
      <c r="AG55"/>
      <c r="AH55"/>
    </row>
    <row r="56" spans="2:50" s="645" customFormat="1" x14ac:dyDescent="0.25">
      <c r="B56" s="855" t="s">
        <v>270</v>
      </c>
      <c r="C56" s="845">
        <f t="shared" si="13"/>
        <v>8300</v>
      </c>
      <c r="D56" s="845">
        <f t="shared" si="3"/>
        <v>4843</v>
      </c>
      <c r="E56" s="853">
        <f t="shared" si="4"/>
        <v>8350</v>
      </c>
      <c r="F56" s="853">
        <f t="shared" si="5"/>
        <v>9640</v>
      </c>
      <c r="G56" s="853">
        <f t="shared" si="6"/>
        <v>0</v>
      </c>
      <c r="H56" s="853">
        <f t="shared" si="7"/>
        <v>8350</v>
      </c>
      <c r="I56" s="853">
        <f t="shared" si="8"/>
        <v>0</v>
      </c>
      <c r="J56" s="853">
        <f t="shared" si="9"/>
        <v>0</v>
      </c>
      <c r="K56" s="853">
        <f t="shared" si="10"/>
        <v>0</v>
      </c>
      <c r="L56" s="845">
        <f t="shared" si="11"/>
        <v>0</v>
      </c>
      <c r="M56" s="845">
        <f t="shared" si="14"/>
        <v>0</v>
      </c>
      <c r="N56" s="845">
        <f t="shared" si="12"/>
        <v>0</v>
      </c>
      <c r="Z56" s="645" t="s">
        <v>938</v>
      </c>
      <c r="AB56" s="4"/>
      <c r="AC56"/>
      <c r="AD56"/>
      <c r="AE56"/>
      <c r="AF56"/>
      <c r="AG56"/>
      <c r="AH56"/>
    </row>
    <row r="57" spans="2:50" s="645" customFormat="1" ht="14.25" customHeight="1" x14ac:dyDescent="0.25">
      <c r="B57" s="888" t="s">
        <v>272</v>
      </c>
      <c r="C57" s="845">
        <f t="shared" si="13"/>
        <v>0</v>
      </c>
      <c r="D57" s="845">
        <f t="shared" si="3"/>
        <v>0</v>
      </c>
      <c r="E57" s="853">
        <f t="shared" si="4"/>
        <v>0</v>
      </c>
      <c r="F57" s="853">
        <f t="shared" si="5"/>
        <v>0</v>
      </c>
      <c r="G57" s="853">
        <f t="shared" si="6"/>
        <v>0</v>
      </c>
      <c r="H57" s="853">
        <f t="shared" si="7"/>
        <v>0</v>
      </c>
      <c r="I57" s="853">
        <f t="shared" si="8"/>
        <v>0</v>
      </c>
      <c r="J57" s="853">
        <f t="shared" si="9"/>
        <v>0</v>
      </c>
      <c r="K57" s="853">
        <f t="shared" si="10"/>
        <v>0</v>
      </c>
      <c r="L57" s="845">
        <f t="shared" si="11"/>
        <v>0</v>
      </c>
      <c r="M57" s="845">
        <f t="shared" si="14"/>
        <v>0</v>
      </c>
      <c r="N57" s="845">
        <f t="shared" si="12"/>
        <v>0</v>
      </c>
      <c r="Z57" s="645" t="s">
        <v>814</v>
      </c>
      <c r="AA57" s="645" t="s">
        <v>1027</v>
      </c>
      <c r="AB57" s="4">
        <v>3795</v>
      </c>
      <c r="AC57"/>
      <c r="AD57"/>
      <c r="AE57"/>
      <c r="AF57"/>
      <c r="AG57"/>
      <c r="AH57"/>
    </row>
    <row r="58" spans="2:50" s="645" customFormat="1" x14ac:dyDescent="0.25">
      <c r="B58" s="899" t="s">
        <v>1119</v>
      </c>
      <c r="C58" s="845">
        <f t="shared" si="13"/>
        <v>0</v>
      </c>
      <c r="D58" s="845">
        <f t="shared" si="3"/>
        <v>0</v>
      </c>
      <c r="E58" s="853">
        <f t="shared" si="4"/>
        <v>0</v>
      </c>
      <c r="F58" s="853">
        <f t="shared" si="5"/>
        <v>0</v>
      </c>
      <c r="G58" s="853">
        <f t="shared" si="6"/>
        <v>0</v>
      </c>
      <c r="H58" s="853">
        <f t="shared" si="7"/>
        <v>0</v>
      </c>
      <c r="I58" s="853">
        <f t="shared" si="8"/>
        <v>0</v>
      </c>
      <c r="J58" s="853">
        <f t="shared" si="9"/>
        <v>0</v>
      </c>
      <c r="K58" s="853">
        <f t="shared" si="10"/>
        <v>0</v>
      </c>
      <c r="L58" s="845">
        <f t="shared" si="11"/>
        <v>0</v>
      </c>
      <c r="M58" s="845">
        <f t="shared" si="14"/>
        <v>27904</v>
      </c>
      <c r="N58" s="845">
        <f t="shared" si="12"/>
        <v>0</v>
      </c>
      <c r="Z58"/>
      <c r="AA58" s="645" t="s">
        <v>658</v>
      </c>
      <c r="AB58" s="4">
        <v>5636</v>
      </c>
      <c r="AC58"/>
      <c r="AD58"/>
      <c r="AE58"/>
      <c r="AF58"/>
      <c r="AG58"/>
      <c r="AH58"/>
    </row>
    <row r="59" spans="2:50" s="645" customFormat="1" x14ac:dyDescent="0.25">
      <c r="B59" s="855" t="s">
        <v>282</v>
      </c>
      <c r="C59" s="845">
        <f t="shared" si="13"/>
        <v>300</v>
      </c>
      <c r="D59" s="845">
        <f t="shared" si="3"/>
        <v>0</v>
      </c>
      <c r="E59" s="853">
        <f t="shared" si="4"/>
        <v>0</v>
      </c>
      <c r="F59" s="853">
        <f t="shared" si="5"/>
        <v>300</v>
      </c>
      <c r="G59" s="853">
        <f t="shared" si="6"/>
        <v>0</v>
      </c>
      <c r="H59" s="853">
        <f t="shared" si="7"/>
        <v>300</v>
      </c>
      <c r="I59" s="853">
        <f t="shared" si="8"/>
        <v>0</v>
      </c>
      <c r="J59" s="853">
        <f t="shared" si="9"/>
        <v>1042</v>
      </c>
      <c r="K59" s="853">
        <f t="shared" si="10"/>
        <v>0</v>
      </c>
      <c r="L59" s="845">
        <f t="shared" si="11"/>
        <v>300</v>
      </c>
      <c r="M59" s="845">
        <f t="shared" si="14"/>
        <v>0</v>
      </c>
      <c r="N59" s="845">
        <f t="shared" si="12"/>
        <v>0</v>
      </c>
      <c r="Z59"/>
      <c r="AA59" s="645" t="s">
        <v>270</v>
      </c>
      <c r="AB59" s="4">
        <v>2502</v>
      </c>
      <c r="AC59"/>
      <c r="AD59"/>
      <c r="AE59"/>
      <c r="AF59"/>
      <c r="AG59"/>
      <c r="AH59"/>
    </row>
    <row r="60" spans="2:50" s="645" customFormat="1" x14ac:dyDescent="0.25">
      <c r="B60" s="854" t="s">
        <v>204</v>
      </c>
      <c r="C60" s="1021">
        <f>SUM(C50:C59)</f>
        <v>11070</v>
      </c>
      <c r="D60" s="1021">
        <f>SUM(D50:D59)</f>
        <v>6940</v>
      </c>
      <c r="E60" s="1021">
        <f t="shared" ref="E60:N60" si="15">SUM(E50:E59)</f>
        <v>9882</v>
      </c>
      <c r="F60" s="1021">
        <f t="shared" si="15"/>
        <v>10951</v>
      </c>
      <c r="G60" s="1021">
        <f t="shared" si="15"/>
        <v>728</v>
      </c>
      <c r="H60" s="1021">
        <f t="shared" si="15"/>
        <v>8710</v>
      </c>
      <c r="I60" s="1021">
        <f t="shared" si="15"/>
        <v>852</v>
      </c>
      <c r="J60" s="1021">
        <f t="shared" si="15"/>
        <v>1894</v>
      </c>
      <c r="K60" s="1021">
        <f t="shared" si="15"/>
        <v>0</v>
      </c>
      <c r="L60" s="1021">
        <f t="shared" si="15"/>
        <v>708</v>
      </c>
      <c r="M60" s="1021">
        <f t="shared" si="15"/>
        <v>28624</v>
      </c>
      <c r="N60" s="1021">
        <f t="shared" si="15"/>
        <v>264</v>
      </c>
      <c r="Z60"/>
      <c r="AA60" s="645" t="s">
        <v>272</v>
      </c>
      <c r="AB60" s="4"/>
      <c r="AC60"/>
      <c r="AD60"/>
      <c r="AE60"/>
      <c r="AF60"/>
      <c r="AG60"/>
      <c r="AH60"/>
    </row>
    <row r="61" spans="2:50" s="645" customFormat="1" hidden="1" x14ac:dyDescent="0.25">
      <c r="B61"/>
      <c r="C61" s="845">
        <f t="shared" si="13"/>
        <v>0</v>
      </c>
      <c r="D61" s="845">
        <f t="shared" si="3"/>
        <v>0</v>
      </c>
      <c r="E61" s="853">
        <f t="shared" ref="E61:E63" si="16">SUMIFS(NFI_Household,NFI_Org,B61,NFI_Blanket_Track,"&lt;&gt;0" )</f>
        <v>0</v>
      </c>
      <c r="F61" s="853">
        <f t="shared" ref="F61:F63" si="17">SUMIFS(NFI_Household,NFI_Org,B61,NFI_Kitchen_Track,"&lt;&gt;0" )</f>
        <v>0</v>
      </c>
      <c r="G61" s="853">
        <f t="shared" ref="G61:G63" si="18">SUMIFS(NFI_Household,NFI_Org,B61,NFI_Complementary_Track,"&lt;&gt;0" )</f>
        <v>0</v>
      </c>
      <c r="H61" s="853">
        <f t="shared" si="7"/>
        <v>0</v>
      </c>
      <c r="I61" s="853">
        <f t="shared" si="8"/>
        <v>0</v>
      </c>
      <c r="J61" s="853">
        <f t="shared" si="9"/>
        <v>0</v>
      </c>
      <c r="K61" s="853">
        <f t="shared" si="10"/>
        <v>0</v>
      </c>
      <c r="L61" s="845">
        <f t="shared" si="11"/>
        <v>0</v>
      </c>
      <c r="M61" s="845">
        <f t="shared" si="14"/>
        <v>0</v>
      </c>
      <c r="N61" s="845">
        <f t="shared" si="12"/>
        <v>0</v>
      </c>
      <c r="Z61" s="645" t="s">
        <v>815</v>
      </c>
      <c r="AB61" s="4">
        <v>11933</v>
      </c>
      <c r="AC61"/>
      <c r="AD61"/>
      <c r="AE61"/>
      <c r="AF61"/>
      <c r="AG61"/>
      <c r="AH61"/>
    </row>
    <row r="62" spans="2:50" s="645" customFormat="1" hidden="1" x14ac:dyDescent="0.25">
      <c r="B62"/>
      <c r="C62" s="845">
        <f t="shared" si="13"/>
        <v>0</v>
      </c>
      <c r="D62" s="845">
        <f t="shared" si="3"/>
        <v>0</v>
      </c>
      <c r="E62" s="853">
        <f t="shared" si="16"/>
        <v>0</v>
      </c>
      <c r="F62" s="853">
        <f t="shared" si="17"/>
        <v>0</v>
      </c>
      <c r="G62" s="853">
        <f t="shared" si="18"/>
        <v>0</v>
      </c>
      <c r="H62" s="853">
        <f t="shared" si="7"/>
        <v>0</v>
      </c>
      <c r="I62" s="853">
        <f t="shared" si="8"/>
        <v>0</v>
      </c>
      <c r="J62" s="853">
        <f t="shared" si="9"/>
        <v>0</v>
      </c>
      <c r="K62" s="853">
        <f t="shared" si="10"/>
        <v>0</v>
      </c>
      <c r="L62" s="845">
        <f t="shared" si="11"/>
        <v>0</v>
      </c>
      <c r="M62" s="845">
        <f t="shared" si="14"/>
        <v>0</v>
      </c>
      <c r="N62" s="845">
        <f t="shared" si="12"/>
        <v>0</v>
      </c>
      <c r="Z62" s="645" t="s">
        <v>13</v>
      </c>
      <c r="AA62" s="645" t="s">
        <v>825</v>
      </c>
      <c r="AB62" s="4"/>
      <c r="AC62"/>
      <c r="AD62"/>
      <c r="AE62"/>
      <c r="AF62"/>
      <c r="AG62"/>
      <c r="AH62"/>
    </row>
    <row r="63" spans="2:50" s="645" customFormat="1" hidden="1" x14ac:dyDescent="0.25">
      <c r="B63"/>
      <c r="C63" s="845">
        <f t="shared" si="13"/>
        <v>0</v>
      </c>
      <c r="D63" s="845">
        <f t="shared" si="3"/>
        <v>0</v>
      </c>
      <c r="E63" s="853">
        <f t="shared" si="16"/>
        <v>0</v>
      </c>
      <c r="F63" s="853">
        <f t="shared" si="17"/>
        <v>0</v>
      </c>
      <c r="G63" s="853">
        <f t="shared" si="18"/>
        <v>0</v>
      </c>
      <c r="H63" s="853">
        <f t="shared" si="7"/>
        <v>0</v>
      </c>
      <c r="I63" s="853">
        <f t="shared" si="8"/>
        <v>0</v>
      </c>
      <c r="J63" s="853">
        <f t="shared" si="9"/>
        <v>0</v>
      </c>
      <c r="K63" s="853">
        <f t="shared" si="10"/>
        <v>0</v>
      </c>
      <c r="L63" s="845">
        <f t="shared" si="11"/>
        <v>0</v>
      </c>
      <c r="M63" s="845">
        <f t="shared" si="14"/>
        <v>0</v>
      </c>
      <c r="N63" s="845">
        <f t="shared" si="12"/>
        <v>0</v>
      </c>
      <c r="Z63"/>
      <c r="AA63" s="645" t="s">
        <v>273</v>
      </c>
      <c r="AB63" s="4">
        <v>211</v>
      </c>
      <c r="AC63"/>
      <c r="AD63"/>
      <c r="AE63"/>
      <c r="AF63"/>
      <c r="AG63"/>
      <c r="AH63"/>
    </row>
    <row r="64" spans="2:50" s="645" customFormat="1" hidden="1" x14ac:dyDescent="0.25">
      <c r="B64"/>
      <c r="C64" s="845">
        <f t="shared" si="13"/>
        <v>0</v>
      </c>
      <c r="D64" s="845">
        <f t="shared" si="3"/>
        <v>0</v>
      </c>
      <c r="E64" s="853">
        <f t="shared" ref="E64:E65" si="19">SUMIFS(NFI_Household,NFI_Org,B64,NFI_Blanket_Track,"&lt;&gt;0" )</f>
        <v>0</v>
      </c>
      <c r="F64" s="853">
        <f t="shared" ref="F64:F65" si="20">SUMIFS(NFI_Household,NFI_Org,B64,NFI_Kitchen_Track,"&lt;&gt;0" )</f>
        <v>0</v>
      </c>
      <c r="G64" s="853">
        <f t="shared" ref="G64:G65" si="21">SUMIFS(NFI_Household,NFI_Org,B64,NFI_Complementary_Track,"&lt;&gt;0" )</f>
        <v>0</v>
      </c>
      <c r="H64" s="853">
        <f t="shared" si="7"/>
        <v>0</v>
      </c>
      <c r="I64" s="853">
        <f t="shared" si="8"/>
        <v>0</v>
      </c>
      <c r="J64" s="853">
        <f t="shared" si="9"/>
        <v>0</v>
      </c>
      <c r="K64" s="853">
        <f t="shared" si="10"/>
        <v>0</v>
      </c>
      <c r="L64" s="845">
        <f t="shared" si="11"/>
        <v>0</v>
      </c>
      <c r="M64" s="845">
        <f t="shared" si="14"/>
        <v>0</v>
      </c>
      <c r="N64" s="845">
        <f t="shared" si="12"/>
        <v>0</v>
      </c>
      <c r="Z64"/>
      <c r="AA64" s="645" t="s">
        <v>520</v>
      </c>
      <c r="AB64" s="4">
        <v>9088</v>
      </c>
      <c r="AC64"/>
      <c r="AD64"/>
      <c r="AE64"/>
      <c r="AF64"/>
      <c r="AG64"/>
      <c r="AH64"/>
    </row>
    <row r="65" spans="2:34" s="645" customFormat="1" hidden="1" x14ac:dyDescent="0.25">
      <c r="B65"/>
      <c r="C65" s="845">
        <f t="shared" si="13"/>
        <v>0</v>
      </c>
      <c r="D65" s="845">
        <f t="shared" si="3"/>
        <v>0</v>
      </c>
      <c r="E65" s="853">
        <f t="shared" si="19"/>
        <v>0</v>
      </c>
      <c r="F65" s="853">
        <f t="shared" si="20"/>
        <v>0</v>
      </c>
      <c r="G65" s="853">
        <f t="shared" si="21"/>
        <v>0</v>
      </c>
      <c r="H65" s="853">
        <f t="shared" si="7"/>
        <v>0</v>
      </c>
      <c r="I65" s="853">
        <f t="shared" si="8"/>
        <v>0</v>
      </c>
      <c r="J65" s="853">
        <f t="shared" si="9"/>
        <v>0</v>
      </c>
      <c r="K65" s="853">
        <f t="shared" si="10"/>
        <v>0</v>
      </c>
      <c r="L65" s="845">
        <f t="shared" si="11"/>
        <v>0</v>
      </c>
      <c r="M65" s="845">
        <f t="shared" si="14"/>
        <v>0</v>
      </c>
      <c r="N65" s="845">
        <f t="shared" si="12"/>
        <v>0</v>
      </c>
      <c r="Z65"/>
      <c r="AA65" s="645" t="s">
        <v>871</v>
      </c>
      <c r="AB65" s="4"/>
      <c r="AC65"/>
      <c r="AD65"/>
      <c r="AE65"/>
      <c r="AF65"/>
      <c r="AG65"/>
      <c r="AH65"/>
    </row>
    <row r="66" spans="2:34" s="645" customFormat="1" hidden="1" x14ac:dyDescent="0.25">
      <c r="B66"/>
      <c r="C66" s="845">
        <f t="shared" ref="C66" si="22">SUMIFS(NFI_Household,NFI_Org,B66,NFI_Mosquito_Track,"&lt;&gt;0" )</f>
        <v>0</v>
      </c>
      <c r="D66" s="845">
        <f t="shared" ref="D66" si="23">SUMIFS(NFI_Household,NFI_Org,B66,NFI_Tarpaulin_Track,"&lt;&gt;0" )</f>
        <v>0</v>
      </c>
      <c r="E66" s="853">
        <f t="shared" ref="E66" si="24">SUMIFS(NFI_Household,NFI_Org,B66,NFI_Blanket_Track,"&lt;&gt;0" )</f>
        <v>0</v>
      </c>
      <c r="F66" s="853">
        <f t="shared" ref="F66" si="25">SUMIFS(NFI_Household,NFI_Org,B66,NFI_Kitchen_Track,"&lt;&gt;0" )</f>
        <v>0</v>
      </c>
      <c r="G66" s="853">
        <f t="shared" ref="G66" si="26">SUMIFS(NFI_Household,NFI_Org,B66,NFI_Complementary_Track,"&lt;&gt;0" )</f>
        <v>0</v>
      </c>
      <c r="H66" s="853">
        <f t="shared" ref="H66" si="27">SUMIFS(NFI_Household,NFI_Org,B66,NFI_Plastic_Mat_Track,"&lt;&gt;0" )</f>
        <v>0</v>
      </c>
      <c r="I66" s="853">
        <f t="shared" ref="I66" si="28">SUMIFS(NFI_Household,NFI_Org,B66,NFI_Adult_Clothes_Track,"&lt;&gt;0" )</f>
        <v>0</v>
      </c>
      <c r="J66" s="853">
        <f t="shared" ref="J66" si="29">SUMIFS(NFI_Household,NFI_Org,B66,NFI_Children_Clothes_Track,"&lt;&gt;0" )</f>
        <v>0</v>
      </c>
      <c r="K66" s="853">
        <f t="shared" ref="K66" si="30">SUMIFS(NFI_Household,NFI_Org,B66,NFI_Sewing_Kit_Track,"&lt;&gt;0" )</f>
        <v>0</v>
      </c>
      <c r="L66" s="845">
        <f t="shared" ref="L66" si="31">SUMIFS(NFI_Household,NFI_Org,B66,NFI_Solar_Lantern_Track,"&lt;&gt;0" )</f>
        <v>0</v>
      </c>
      <c r="M66" s="845">
        <f t="shared" ref="M66" si="32">SUMIFS(NFI_Household,NFI_Org,B66,NFI_Core_Track,"&lt;&gt;0" )</f>
        <v>0</v>
      </c>
      <c r="N66" s="845">
        <f t="shared" si="12"/>
        <v>0</v>
      </c>
      <c r="Z66"/>
      <c r="AA66" s="645" t="s">
        <v>575</v>
      </c>
      <c r="AB66" s="4">
        <v>210</v>
      </c>
      <c r="AC66"/>
      <c r="AD66"/>
      <c r="AE66"/>
      <c r="AF66"/>
      <c r="AG66"/>
      <c r="AH66"/>
    </row>
    <row r="67" spans="2:34" s="645" customFormat="1" hidden="1" x14ac:dyDescent="0.25">
      <c r="B67"/>
      <c r="C67" s="845">
        <f t="shared" ref="C67" si="33">SUMIFS(NFI_Household,NFI_Org,B67,NFI_Mosquito_Track,"&lt;&gt;0" )</f>
        <v>0</v>
      </c>
      <c r="D67" s="845">
        <f t="shared" ref="D67" si="34">SUMIFS(NFI_Household,NFI_Org,B67,NFI_Tarpaulin_Track,"&lt;&gt;0" )</f>
        <v>0</v>
      </c>
      <c r="E67" s="853">
        <f t="shared" ref="E67" si="35">SUMIFS(NFI_Household,NFI_Org,B67,NFI_Blanket_Track,"&lt;&gt;0" )</f>
        <v>0</v>
      </c>
      <c r="F67" s="853">
        <f t="shared" ref="F67" si="36">SUMIFS(NFI_Household,NFI_Org,B67,NFI_Kitchen_Track,"&lt;&gt;0" )</f>
        <v>0</v>
      </c>
      <c r="G67" s="853">
        <f t="shared" ref="G67" si="37">SUMIFS(NFI_Household,NFI_Org,B67,NFI_Complementary_Track,"&lt;&gt;0" )</f>
        <v>0</v>
      </c>
      <c r="H67" s="853">
        <f t="shared" ref="H67" si="38">SUMIFS(NFI_Household,NFI_Org,B67,NFI_Plastic_Mat_Track,"&lt;&gt;0" )</f>
        <v>0</v>
      </c>
      <c r="I67" s="853">
        <f t="shared" ref="I67" si="39">SUMIFS(NFI_Household,NFI_Org,B67,NFI_Adult_Clothes_Track,"&lt;&gt;0" )</f>
        <v>0</v>
      </c>
      <c r="J67" s="853">
        <f t="shared" ref="J67" si="40">SUMIFS(NFI_Household,NFI_Org,B67,NFI_Children_Clothes_Track,"&lt;&gt;0" )</f>
        <v>0</v>
      </c>
      <c r="K67" s="853">
        <f t="shared" ref="K67" si="41">SUMIFS(NFI_Household,NFI_Org,B67,NFI_Sewing_Kit_Track,"&lt;&gt;0" )</f>
        <v>0</v>
      </c>
      <c r="L67" s="845">
        <f t="shared" ref="L67" si="42">SUMIFS(NFI_Household,NFI_Org,B67,NFI_Solar_Lantern_Track,"&lt;&gt;0" )</f>
        <v>0</v>
      </c>
      <c r="M67" s="845">
        <f t="shared" ref="M67" si="43">SUMIFS(NFI_Household,NFI_Org,B67,NFI_Core_Track,"&lt;&gt;0" )</f>
        <v>0</v>
      </c>
      <c r="N67" s="845">
        <f t="shared" si="12"/>
        <v>0</v>
      </c>
      <c r="Z67"/>
      <c r="AA67" s="645" t="s">
        <v>473</v>
      </c>
      <c r="AB67" s="4"/>
      <c r="AC67"/>
      <c r="AD67"/>
      <c r="AE67"/>
      <c r="AF67"/>
      <c r="AG67"/>
      <c r="AH67"/>
    </row>
    <row r="68" spans="2:34" s="645" customFormat="1" x14ac:dyDescent="0.25">
      <c r="B68"/>
      <c r="Z68"/>
      <c r="AA68" s="645" t="s">
        <v>1035</v>
      </c>
      <c r="AB68" s="4">
        <v>5620</v>
      </c>
      <c r="AC68"/>
      <c r="AD68"/>
      <c r="AE68"/>
      <c r="AF68"/>
      <c r="AG68"/>
      <c r="AH68"/>
    </row>
    <row r="69" spans="2:34" s="645" customFormat="1" x14ac:dyDescent="0.25">
      <c r="E69" s="84"/>
      <c r="F69" s="84"/>
      <c r="G69" s="84"/>
      <c r="H69" s="84"/>
      <c r="I69" s="84"/>
      <c r="J69" s="84"/>
      <c r="K69" s="84"/>
      <c r="Z69"/>
      <c r="AA69" s="645" t="s">
        <v>1016</v>
      </c>
      <c r="AB69" s="4">
        <v>8932</v>
      </c>
      <c r="AC69"/>
      <c r="AD69"/>
      <c r="AE69"/>
      <c r="AF69"/>
      <c r="AG69"/>
      <c r="AH69"/>
    </row>
    <row r="70" spans="2:34" s="645" customFormat="1" x14ac:dyDescent="0.25">
      <c r="E70" s="84"/>
      <c r="F70" s="84"/>
      <c r="G70" s="84"/>
      <c r="H70" s="84"/>
      <c r="I70" s="84"/>
      <c r="J70" s="84"/>
      <c r="K70" s="84"/>
      <c r="Z70"/>
      <c r="AA70" s="645" t="s">
        <v>270</v>
      </c>
      <c r="AB70" s="4">
        <v>37991</v>
      </c>
      <c r="AC70"/>
      <c r="AD70"/>
      <c r="AE70"/>
      <c r="AF70"/>
      <c r="AG70"/>
      <c r="AH70"/>
    </row>
    <row r="71" spans="2:34" s="645" customFormat="1" x14ac:dyDescent="0.25">
      <c r="E71" s="84"/>
      <c r="F71" s="84"/>
      <c r="G71" s="84"/>
      <c r="H71" s="84"/>
      <c r="I71" s="84"/>
      <c r="J71" s="84"/>
      <c r="K71" s="84"/>
      <c r="Z71"/>
      <c r="AA71" s="645" t="s">
        <v>272</v>
      </c>
      <c r="AB71" s="4">
        <v>10771</v>
      </c>
      <c r="AC71"/>
      <c r="AD71"/>
      <c r="AE71"/>
      <c r="AF71"/>
      <c r="AG71"/>
      <c r="AH71"/>
    </row>
    <row r="72" spans="2:34" s="645" customFormat="1" x14ac:dyDescent="0.25">
      <c r="E72" s="84"/>
      <c r="F72" s="84"/>
      <c r="G72" s="84"/>
      <c r="H72" s="84"/>
      <c r="I72" s="84"/>
      <c r="J72" s="84"/>
      <c r="K72" s="84"/>
      <c r="Z72"/>
      <c r="AA72" s="645" t="s">
        <v>1037</v>
      </c>
      <c r="AB72" s="4">
        <v>2070</v>
      </c>
      <c r="AC72"/>
      <c r="AD72"/>
      <c r="AE72"/>
      <c r="AF72"/>
      <c r="AG72"/>
      <c r="AH72"/>
    </row>
    <row r="73" spans="2:34" s="645" customFormat="1" x14ac:dyDescent="0.25">
      <c r="E73" s="84"/>
      <c r="F73" s="84"/>
      <c r="G73" s="84"/>
      <c r="H73" s="84"/>
      <c r="I73" s="84"/>
      <c r="J73" s="84"/>
      <c r="K73" s="84"/>
      <c r="Z73" s="645" t="s">
        <v>598</v>
      </c>
      <c r="AB73" s="4">
        <v>74893</v>
      </c>
      <c r="AC73"/>
      <c r="AD73"/>
      <c r="AE73"/>
      <c r="AF73"/>
      <c r="AG73"/>
      <c r="AH73"/>
    </row>
    <row r="74" spans="2:34" s="645" customFormat="1" x14ac:dyDescent="0.25">
      <c r="E74" s="84"/>
      <c r="F74" s="84"/>
      <c r="G74" s="84"/>
      <c r="H74" s="84"/>
      <c r="I74" s="84"/>
      <c r="J74" s="84"/>
      <c r="K74" s="84"/>
      <c r="Z74" s="645" t="s">
        <v>16</v>
      </c>
      <c r="AA74" s="645" t="s">
        <v>270</v>
      </c>
      <c r="AB74" s="4"/>
      <c r="AC74"/>
      <c r="AD74"/>
      <c r="AE74"/>
      <c r="AF74"/>
      <c r="AG74"/>
      <c r="AH74"/>
    </row>
    <row r="75" spans="2:34" s="645" customFormat="1" x14ac:dyDescent="0.25">
      <c r="E75" s="84"/>
      <c r="F75" s="84"/>
      <c r="G75" s="84"/>
      <c r="H75" s="84"/>
      <c r="I75" s="84"/>
      <c r="J75" s="84"/>
      <c r="K75" s="84"/>
      <c r="Z75"/>
      <c r="AA75" s="645" t="s">
        <v>272</v>
      </c>
      <c r="AB75" s="4"/>
      <c r="AC75"/>
      <c r="AD75"/>
      <c r="AE75"/>
      <c r="AF75"/>
      <c r="AG75"/>
      <c r="AH75"/>
    </row>
    <row r="76" spans="2:34" s="645" customFormat="1" x14ac:dyDescent="0.25">
      <c r="E76" s="84"/>
      <c r="F76" s="84"/>
      <c r="G76" s="84"/>
      <c r="H76" s="84"/>
      <c r="I76" s="84"/>
      <c r="J76" s="84"/>
      <c r="K76" s="84"/>
      <c r="Z76" s="645" t="s">
        <v>599</v>
      </c>
      <c r="AB76" s="4"/>
      <c r="AC76"/>
      <c r="AD76"/>
      <c r="AE76"/>
      <c r="AF76"/>
      <c r="AG76"/>
      <c r="AH76"/>
    </row>
    <row r="77" spans="2:34" s="645" customFormat="1" x14ac:dyDescent="0.25">
      <c r="E77" s="84"/>
      <c r="F77" s="84"/>
      <c r="G77" s="84"/>
      <c r="H77" s="84"/>
      <c r="I77" s="84"/>
      <c r="J77" s="84"/>
      <c r="K77" s="84"/>
      <c r="Z77" s="645" t="s">
        <v>15</v>
      </c>
      <c r="AA77" s="645" t="s">
        <v>904</v>
      </c>
      <c r="AB77" s="4">
        <v>1485</v>
      </c>
      <c r="AC77"/>
      <c r="AD77"/>
      <c r="AE77"/>
      <c r="AF77"/>
      <c r="AG77"/>
      <c r="AH77"/>
    </row>
    <row r="78" spans="2:34" s="645" customFormat="1" x14ac:dyDescent="0.25">
      <c r="E78" s="84"/>
      <c r="F78" s="84"/>
      <c r="G78" s="84"/>
      <c r="H78" s="84"/>
      <c r="I78" s="84"/>
      <c r="J78" s="84"/>
      <c r="K78" s="84"/>
      <c r="Z78"/>
      <c r="AA78" s="645" t="s">
        <v>270</v>
      </c>
      <c r="AB78" s="4">
        <v>4443</v>
      </c>
      <c r="AC78"/>
      <c r="AD78"/>
      <c r="AE78"/>
      <c r="AF78"/>
      <c r="AG78"/>
      <c r="AH78"/>
    </row>
    <row r="79" spans="2:34" s="645" customFormat="1" x14ac:dyDescent="0.25">
      <c r="E79" s="84"/>
      <c r="F79" s="84"/>
      <c r="G79" s="84"/>
      <c r="H79" s="84"/>
      <c r="I79" s="84"/>
      <c r="J79" s="84"/>
      <c r="K79" s="84"/>
      <c r="Z79" s="645" t="s">
        <v>600</v>
      </c>
      <c r="AB79" s="4">
        <v>5928</v>
      </c>
      <c r="AC79"/>
      <c r="AD79"/>
      <c r="AE79"/>
      <c r="AF79"/>
      <c r="AG79"/>
      <c r="AH79"/>
    </row>
    <row r="80" spans="2:34" s="645" customFormat="1" x14ac:dyDescent="0.25">
      <c r="E80" s="84"/>
      <c r="F80" s="84"/>
      <c r="G80" s="84"/>
      <c r="H80" s="84"/>
      <c r="I80" s="84"/>
      <c r="J80" s="84"/>
      <c r="K80" s="84"/>
      <c r="Z80" s="645" t="s">
        <v>17</v>
      </c>
      <c r="AA80" s="645" t="s">
        <v>475</v>
      </c>
      <c r="AB80" s="4"/>
      <c r="AC80"/>
      <c r="AD80"/>
      <c r="AE80"/>
      <c r="AF80"/>
      <c r="AG80"/>
      <c r="AH80"/>
    </row>
    <row r="81" spans="5:34" s="645" customFormat="1" x14ac:dyDescent="0.25">
      <c r="E81" s="84"/>
      <c r="F81" s="84"/>
      <c r="G81" s="84"/>
      <c r="H81" s="84"/>
      <c r="I81" s="84"/>
      <c r="J81" s="84"/>
      <c r="K81" s="84"/>
      <c r="Z81"/>
      <c r="AA81" s="645" t="s">
        <v>476</v>
      </c>
      <c r="AB81" s="4">
        <v>8431.5</v>
      </c>
      <c r="AC81"/>
      <c r="AD81"/>
      <c r="AE81"/>
      <c r="AF81"/>
      <c r="AG81"/>
      <c r="AH81"/>
    </row>
    <row r="82" spans="5:34" s="645" customFormat="1" x14ac:dyDescent="0.25">
      <c r="E82" s="84"/>
      <c r="F82" s="84"/>
      <c r="G82" s="84"/>
      <c r="H82" s="84"/>
      <c r="I82" s="84"/>
      <c r="J82" s="84"/>
      <c r="K82" s="84"/>
      <c r="Z82"/>
      <c r="AA82" s="645" t="s">
        <v>273</v>
      </c>
      <c r="AB82" s="4">
        <v>35787</v>
      </c>
      <c r="AC82"/>
      <c r="AD82"/>
      <c r="AE82"/>
      <c r="AF82"/>
      <c r="AG82"/>
      <c r="AH82"/>
    </row>
    <row r="83" spans="5:34" s="645" customFormat="1" x14ac:dyDescent="0.25">
      <c r="E83" s="84"/>
      <c r="F83" s="84"/>
      <c r="G83" s="84"/>
      <c r="H83" s="84"/>
      <c r="I83" s="84"/>
      <c r="J83" s="84"/>
      <c r="K83" s="84"/>
      <c r="Z83"/>
      <c r="AA83" s="645" t="s">
        <v>1028</v>
      </c>
      <c r="AB83" s="4">
        <v>1925</v>
      </c>
      <c r="AC83"/>
      <c r="AD83"/>
      <c r="AE83"/>
      <c r="AF83"/>
      <c r="AG83"/>
      <c r="AH83"/>
    </row>
    <row r="84" spans="5:34" s="645" customFormat="1" x14ac:dyDescent="0.25">
      <c r="E84" s="84"/>
      <c r="F84" s="84"/>
      <c r="G84" s="84"/>
      <c r="H84" s="84"/>
      <c r="I84" s="84"/>
      <c r="J84" s="84"/>
      <c r="K84" s="84"/>
      <c r="Z84"/>
      <c r="AA84" s="645" t="s">
        <v>274</v>
      </c>
      <c r="AB84" s="4"/>
      <c r="AC84"/>
      <c r="AD84"/>
      <c r="AE84"/>
      <c r="AF84"/>
      <c r="AG84"/>
      <c r="AH84"/>
    </row>
    <row r="85" spans="5:34" s="645" customFormat="1" x14ac:dyDescent="0.25">
      <c r="E85" s="84"/>
      <c r="F85" s="84"/>
      <c r="G85" s="84"/>
      <c r="H85" s="84"/>
      <c r="I85" s="84"/>
      <c r="J85" s="84"/>
      <c r="K85" s="84"/>
      <c r="Z85"/>
      <c r="AA85" s="645" t="s">
        <v>575</v>
      </c>
      <c r="AB85" s="4">
        <v>240</v>
      </c>
      <c r="AC85"/>
      <c r="AD85"/>
      <c r="AE85"/>
      <c r="AF85"/>
      <c r="AG85"/>
      <c r="AH85"/>
    </row>
    <row r="86" spans="5:34" s="645" customFormat="1" x14ac:dyDescent="0.25">
      <c r="E86" s="84"/>
      <c r="F86" s="84"/>
      <c r="G86" s="84"/>
      <c r="H86" s="84"/>
      <c r="I86" s="84"/>
      <c r="J86" s="84"/>
      <c r="K86" s="84"/>
      <c r="Z86"/>
      <c r="AA86" s="645" t="s">
        <v>280</v>
      </c>
      <c r="AB86" s="4">
        <v>2009</v>
      </c>
      <c r="AC86"/>
      <c r="AD86"/>
      <c r="AE86"/>
      <c r="AF86"/>
      <c r="AG86"/>
      <c r="AH86"/>
    </row>
    <row r="87" spans="5:34" s="645" customFormat="1" x14ac:dyDescent="0.25">
      <c r="E87" s="84"/>
      <c r="F87" s="84"/>
      <c r="G87" s="84"/>
      <c r="H87" s="84"/>
      <c r="I87" s="84"/>
      <c r="J87" s="84"/>
      <c r="K87" s="84"/>
      <c r="Z87"/>
      <c r="AA87" s="645" t="s">
        <v>1027</v>
      </c>
      <c r="AB87" s="4">
        <v>750</v>
      </c>
      <c r="AC87"/>
      <c r="AD87"/>
      <c r="AE87"/>
      <c r="AF87"/>
      <c r="AG87"/>
      <c r="AH87"/>
    </row>
    <row r="88" spans="5:34" s="645" customFormat="1" x14ac:dyDescent="0.25">
      <c r="E88" s="84"/>
      <c r="F88" s="84"/>
      <c r="G88" s="84"/>
      <c r="H88" s="84"/>
      <c r="I88" s="84"/>
      <c r="J88" s="84"/>
      <c r="K88" s="84"/>
      <c r="Z88"/>
      <c r="AA88" s="645" t="s">
        <v>279</v>
      </c>
      <c r="AB88" s="4"/>
      <c r="AC88"/>
      <c r="AD88"/>
      <c r="AE88"/>
      <c r="AF88"/>
      <c r="AG88"/>
      <c r="AH88"/>
    </row>
    <row r="89" spans="5:34" s="645" customFormat="1" x14ac:dyDescent="0.25">
      <c r="E89" s="84"/>
      <c r="F89" s="84"/>
      <c r="G89" s="84"/>
      <c r="H89" s="84"/>
      <c r="I89" s="84"/>
      <c r="J89" s="84"/>
      <c r="K89" s="84"/>
      <c r="Z89"/>
      <c r="AA89" s="645" t="s">
        <v>574</v>
      </c>
      <c r="AB89" s="4">
        <v>3987</v>
      </c>
      <c r="AC89"/>
      <c r="AD89"/>
      <c r="AE89"/>
      <c r="AF89"/>
      <c r="AG89"/>
      <c r="AH89"/>
    </row>
    <row r="90" spans="5:34" s="645" customFormat="1" x14ac:dyDescent="0.25">
      <c r="E90" s="84"/>
      <c r="F90" s="84"/>
      <c r="G90" s="84"/>
      <c r="H90" s="84"/>
      <c r="I90" s="84"/>
      <c r="J90" s="84"/>
      <c r="K90" s="84"/>
      <c r="Z90"/>
      <c r="AA90" s="645" t="s">
        <v>271</v>
      </c>
      <c r="AB90" s="4"/>
      <c r="AC90"/>
      <c r="AD90"/>
      <c r="AE90"/>
      <c r="AF90"/>
      <c r="AG90"/>
      <c r="AH90"/>
    </row>
    <row r="91" spans="5:34" s="645" customFormat="1" x14ac:dyDescent="0.25">
      <c r="E91" s="84"/>
      <c r="F91" s="84"/>
      <c r="G91" s="84"/>
      <c r="H91" s="84"/>
      <c r="I91" s="84"/>
      <c r="J91" s="84"/>
      <c r="K91" s="84"/>
      <c r="Z91"/>
      <c r="AA91" s="645" t="s">
        <v>904</v>
      </c>
      <c r="AB91" s="4">
        <v>4969</v>
      </c>
      <c r="AC91"/>
      <c r="AD91"/>
      <c r="AE91"/>
      <c r="AF91"/>
      <c r="AG91"/>
      <c r="AH91"/>
    </row>
    <row r="92" spans="5:34" s="645" customFormat="1" x14ac:dyDescent="0.25">
      <c r="E92" s="84"/>
      <c r="F92" s="84"/>
      <c r="G92" s="84"/>
      <c r="H92" s="84"/>
      <c r="I92" s="84"/>
      <c r="J92" s="84"/>
      <c r="K92" s="84"/>
      <c r="Z92"/>
      <c r="AA92" s="645" t="s">
        <v>1119</v>
      </c>
      <c r="AB92" s="4">
        <v>187535</v>
      </c>
      <c r="AC92"/>
      <c r="AD92"/>
      <c r="AE92"/>
      <c r="AF92"/>
      <c r="AG92"/>
      <c r="AH92"/>
    </row>
    <row r="93" spans="5:34" s="645" customFormat="1" x14ac:dyDescent="0.25">
      <c r="E93" s="84"/>
      <c r="F93" s="84"/>
      <c r="G93" s="84"/>
      <c r="H93" s="84"/>
      <c r="I93" s="84"/>
      <c r="J93" s="84"/>
      <c r="K93" s="84"/>
      <c r="Z93"/>
      <c r="AA93" s="645" t="s">
        <v>473</v>
      </c>
      <c r="AB93" s="4"/>
      <c r="AC93"/>
      <c r="AD93"/>
      <c r="AE93"/>
      <c r="AF93"/>
      <c r="AG93"/>
      <c r="AH93"/>
    </row>
    <row r="94" spans="5:34" s="645" customFormat="1" x14ac:dyDescent="0.25">
      <c r="E94" s="84"/>
      <c r="F94" s="84"/>
      <c r="G94" s="84"/>
      <c r="H94" s="84"/>
      <c r="I94" s="84"/>
      <c r="J94" s="84"/>
      <c r="K94" s="84"/>
      <c r="Z94"/>
      <c r="AA94" s="645" t="s">
        <v>1035</v>
      </c>
      <c r="AB94" s="4">
        <v>80772.5</v>
      </c>
      <c r="AC94"/>
      <c r="AD94"/>
      <c r="AE94"/>
      <c r="AF94"/>
      <c r="AG94"/>
      <c r="AH94"/>
    </row>
    <row r="95" spans="5:34" s="645" customFormat="1" x14ac:dyDescent="0.25">
      <c r="E95" s="84"/>
      <c r="F95" s="84"/>
      <c r="G95" s="84"/>
      <c r="H95" s="84"/>
      <c r="I95" s="84"/>
      <c r="J95" s="84"/>
      <c r="K95" s="84"/>
      <c r="Z95"/>
      <c r="AA95" s="645" t="s">
        <v>1016</v>
      </c>
      <c r="AB95" s="4">
        <v>69099</v>
      </c>
      <c r="AC95"/>
      <c r="AD95"/>
      <c r="AE95"/>
      <c r="AF95"/>
      <c r="AG95"/>
      <c r="AH95"/>
    </row>
    <row r="96" spans="5:34" s="645" customFormat="1" x14ac:dyDescent="0.25">
      <c r="E96" s="84"/>
      <c r="F96" s="84"/>
      <c r="G96" s="84"/>
      <c r="H96" s="84"/>
      <c r="I96" s="84"/>
      <c r="J96" s="84"/>
      <c r="K96" s="84"/>
      <c r="Z96"/>
      <c r="AA96" s="645" t="s">
        <v>1118</v>
      </c>
      <c r="AB96" s="4">
        <v>4471</v>
      </c>
      <c r="AC96"/>
      <c r="AD96"/>
      <c r="AE96"/>
      <c r="AF96"/>
      <c r="AG96"/>
      <c r="AH96"/>
    </row>
    <row r="97" spans="2:34" s="645" customFormat="1" x14ac:dyDescent="0.25">
      <c r="E97" s="84"/>
      <c r="F97" s="84"/>
      <c r="G97" s="84"/>
      <c r="H97" s="84"/>
      <c r="I97" s="84"/>
      <c r="J97" s="84"/>
      <c r="K97" s="84"/>
      <c r="Z97"/>
      <c r="AA97" s="645" t="s">
        <v>270</v>
      </c>
      <c r="AB97" s="4">
        <v>74868</v>
      </c>
      <c r="AC97"/>
      <c r="AD97"/>
      <c r="AE97"/>
      <c r="AF97"/>
      <c r="AG97"/>
      <c r="AH97"/>
    </row>
    <row r="98" spans="2:34" s="645" customFormat="1" x14ac:dyDescent="0.25">
      <c r="E98" s="84"/>
      <c r="F98" s="84"/>
      <c r="G98" s="84"/>
      <c r="H98" s="84"/>
      <c r="I98" s="84"/>
      <c r="J98" s="84"/>
      <c r="K98" s="84"/>
      <c r="Z98"/>
      <c r="AA98" s="645" t="s">
        <v>1037</v>
      </c>
      <c r="AB98" s="4">
        <v>5033</v>
      </c>
      <c r="AC98"/>
      <c r="AD98"/>
      <c r="AE98"/>
      <c r="AF98"/>
      <c r="AG98"/>
      <c r="AH98"/>
    </row>
    <row r="99" spans="2:34" s="645" customFormat="1" x14ac:dyDescent="0.25">
      <c r="E99" s="84"/>
      <c r="F99" s="84"/>
      <c r="G99" s="84"/>
      <c r="H99" s="84"/>
      <c r="I99" s="84"/>
      <c r="J99" s="84"/>
      <c r="K99" s="84"/>
      <c r="Z99"/>
      <c r="AA99" s="645" t="s">
        <v>282</v>
      </c>
      <c r="AB99" s="4">
        <v>2674</v>
      </c>
      <c r="AC99"/>
      <c r="AD99"/>
      <c r="AE99"/>
      <c r="AF99"/>
      <c r="AG99"/>
      <c r="AH99"/>
    </row>
    <row r="100" spans="2:34" s="645" customFormat="1" x14ac:dyDescent="0.25">
      <c r="E100" s="84"/>
      <c r="F100" s="84"/>
      <c r="G100" s="84"/>
      <c r="H100" s="84"/>
      <c r="I100" s="84"/>
      <c r="J100" s="84"/>
      <c r="K100" s="84"/>
      <c r="Z100" s="645" t="s">
        <v>596</v>
      </c>
      <c r="AB100" s="4">
        <v>482551</v>
      </c>
      <c r="AC100"/>
      <c r="AD100"/>
      <c r="AE100"/>
      <c r="AF100"/>
      <c r="AG100"/>
      <c r="AH100"/>
    </row>
    <row r="101" spans="2:34" s="645" customFormat="1" x14ac:dyDescent="0.25">
      <c r="E101" s="84"/>
      <c r="F101" s="84"/>
      <c r="G101" s="84"/>
      <c r="H101" s="84"/>
      <c r="I101" s="84"/>
      <c r="J101" s="84"/>
      <c r="K101" s="84"/>
      <c r="Z101" s="645" t="s">
        <v>929</v>
      </c>
      <c r="AA101" s="645" t="s">
        <v>929</v>
      </c>
      <c r="AB101" s="4"/>
      <c r="AC101"/>
      <c r="AD101"/>
      <c r="AE101"/>
      <c r="AF101"/>
      <c r="AG101"/>
      <c r="AH101"/>
    </row>
    <row r="102" spans="2:34" s="645" customFormat="1" x14ac:dyDescent="0.25">
      <c r="E102" s="84"/>
      <c r="F102" s="84"/>
      <c r="G102" s="84"/>
      <c r="H102" s="84"/>
      <c r="I102" s="84"/>
      <c r="J102" s="84"/>
      <c r="K102" s="84"/>
      <c r="Z102" s="645" t="s">
        <v>930</v>
      </c>
      <c r="AB102" s="4"/>
      <c r="AC102"/>
      <c r="AD102"/>
      <c r="AE102"/>
      <c r="AF102"/>
      <c r="AG102"/>
      <c r="AH102"/>
    </row>
    <row r="103" spans="2:34" s="645" customFormat="1" x14ac:dyDescent="0.25">
      <c r="E103" s="84"/>
      <c r="F103" s="84"/>
      <c r="G103" s="84"/>
      <c r="H103" s="84"/>
      <c r="I103" s="84"/>
      <c r="J103" s="84"/>
      <c r="K103" s="84"/>
      <c r="Z103" s="645" t="s">
        <v>204</v>
      </c>
      <c r="AA103"/>
      <c r="AB103" s="4">
        <v>575805</v>
      </c>
      <c r="AC103"/>
      <c r="AD103"/>
      <c r="AE103"/>
      <c r="AF103"/>
      <c r="AG103"/>
      <c r="AH103"/>
    </row>
    <row r="104" spans="2:34" s="645" customFormat="1" x14ac:dyDescent="0.25">
      <c r="E104" s="84"/>
      <c r="F104" s="84"/>
      <c r="G104" s="84"/>
      <c r="H104" s="84"/>
      <c r="I104" s="84"/>
      <c r="J104" s="84"/>
      <c r="K104" s="84"/>
      <c r="Z104"/>
      <c r="AA104"/>
      <c r="AB104"/>
      <c r="AC104"/>
      <c r="AD104"/>
      <c r="AE104"/>
      <c r="AF104"/>
      <c r="AG104"/>
      <c r="AH104"/>
    </row>
    <row r="105" spans="2:34" s="645" customFormat="1" x14ac:dyDescent="0.25">
      <c r="E105" s="84"/>
      <c r="F105" s="84"/>
      <c r="G105" s="84"/>
      <c r="H105" s="84"/>
      <c r="I105" s="84"/>
      <c r="J105" s="84"/>
      <c r="K105" s="84"/>
      <c r="Z105"/>
      <c r="AA105"/>
      <c r="AB105"/>
      <c r="AC105"/>
      <c r="AD105"/>
      <c r="AE105"/>
      <c r="AF105"/>
      <c r="AG105"/>
      <c r="AH105"/>
    </row>
    <row r="106" spans="2:34" s="645" customFormat="1" x14ac:dyDescent="0.25">
      <c r="E106" s="84"/>
      <c r="F106" s="84"/>
      <c r="G106" s="84"/>
      <c r="H106" s="84"/>
      <c r="I106" s="84"/>
      <c r="J106" s="84"/>
      <c r="K106" s="84"/>
      <c r="Z106"/>
      <c r="AA106"/>
      <c r="AB106"/>
      <c r="AC106"/>
      <c r="AD106"/>
      <c r="AE106"/>
      <c r="AF106"/>
      <c r="AG106"/>
      <c r="AH106"/>
    </row>
    <row r="107" spans="2:34" s="645" customFormat="1" x14ac:dyDescent="0.25">
      <c r="B107"/>
      <c r="C107"/>
      <c r="D107"/>
      <c r="E107" s="84"/>
      <c r="F107" s="84"/>
      <c r="G107" s="84"/>
      <c r="H107" s="84"/>
      <c r="I107" s="84"/>
      <c r="J107" s="84"/>
      <c r="K107" s="84"/>
      <c r="Z107"/>
      <c r="AA107"/>
      <c r="AB107"/>
      <c r="AC107"/>
      <c r="AD107"/>
      <c r="AE107"/>
      <c r="AF107"/>
      <c r="AG107"/>
      <c r="AH107"/>
    </row>
    <row r="108" spans="2:34" s="645" customFormat="1" x14ac:dyDescent="0.25">
      <c r="B108"/>
      <c r="C108"/>
      <c r="D108"/>
      <c r="E108" s="84"/>
      <c r="F108" s="84"/>
      <c r="G108" s="84"/>
      <c r="H108" s="84"/>
      <c r="I108" s="84"/>
      <c r="J108" s="84"/>
      <c r="K108" s="84"/>
      <c r="Z108"/>
      <c r="AA108"/>
      <c r="AB108"/>
      <c r="AC108"/>
      <c r="AD108"/>
      <c r="AE108"/>
      <c r="AF108"/>
      <c r="AG108"/>
      <c r="AH108"/>
    </row>
    <row r="109" spans="2:34" s="645" customFormat="1" x14ac:dyDescent="0.25">
      <c r="B109"/>
      <c r="C109"/>
      <c r="D109"/>
      <c r="E109" s="84"/>
      <c r="F109" s="84"/>
      <c r="G109" s="84"/>
      <c r="H109" s="84"/>
      <c r="I109" s="84"/>
      <c r="J109" s="84"/>
      <c r="K109" s="84"/>
      <c r="Z109"/>
      <c r="AA109"/>
      <c r="AB109"/>
      <c r="AC109"/>
      <c r="AD109"/>
      <c r="AE109"/>
      <c r="AF109"/>
      <c r="AG109"/>
      <c r="AH109"/>
    </row>
    <row r="110" spans="2:34" s="645" customFormat="1" x14ac:dyDescent="0.25">
      <c r="B110"/>
      <c r="E110" s="84"/>
      <c r="F110" s="84"/>
      <c r="G110" s="84"/>
      <c r="H110" s="84"/>
      <c r="I110" s="84"/>
      <c r="J110" s="84"/>
      <c r="K110" s="84"/>
      <c r="Z110"/>
      <c r="AA110"/>
      <c r="AB110"/>
      <c r="AC110"/>
      <c r="AD110"/>
      <c r="AE110"/>
      <c r="AF110"/>
      <c r="AG110"/>
      <c r="AH110"/>
    </row>
    <row r="111" spans="2:34" s="645" customFormat="1" x14ac:dyDescent="0.25">
      <c r="B111"/>
      <c r="E111" s="84"/>
      <c r="F111" s="84"/>
      <c r="G111" s="84"/>
      <c r="H111" s="84"/>
      <c r="I111" s="84"/>
      <c r="J111" s="84"/>
      <c r="K111" s="84"/>
      <c r="Z111"/>
      <c r="AA111"/>
      <c r="AB111"/>
      <c r="AC111"/>
      <c r="AD111"/>
      <c r="AE111"/>
      <c r="AF111"/>
      <c r="AG111"/>
      <c r="AH111"/>
    </row>
    <row r="112" spans="2:34" s="645" customFormat="1" x14ac:dyDescent="0.25">
      <c r="B112"/>
      <c r="E112" s="84"/>
      <c r="F112" s="84"/>
      <c r="G112" s="84"/>
      <c r="H112" s="84"/>
      <c r="I112" s="84"/>
      <c r="J112" s="84"/>
      <c r="K112" s="84"/>
      <c r="Z112"/>
      <c r="AA112"/>
      <c r="AB112"/>
      <c r="AC112"/>
      <c r="AD112"/>
      <c r="AE112"/>
      <c r="AF112"/>
      <c r="AG112"/>
      <c r="AH112"/>
    </row>
    <row r="113" spans="2:34" s="645" customFormat="1" x14ac:dyDescent="0.25">
      <c r="B113"/>
      <c r="C113"/>
      <c r="D113"/>
      <c r="E113" s="84"/>
      <c r="F113" s="84"/>
      <c r="G113" s="84"/>
      <c r="H113" s="84"/>
      <c r="I113" s="84"/>
      <c r="J113" s="84"/>
      <c r="K113" s="84"/>
      <c r="Z113"/>
      <c r="AA113"/>
      <c r="AB113"/>
      <c r="AC113"/>
      <c r="AD113"/>
      <c r="AE113"/>
      <c r="AF113"/>
      <c r="AG113"/>
      <c r="AH113"/>
    </row>
    <row r="114" spans="2:34" s="645"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745</v>
      </c>
      <c r="C117" s="645" t="s">
        <v>716</v>
      </c>
      <c r="M117" s="645"/>
    </row>
    <row r="119" spans="2:34" customFormat="1" x14ac:dyDescent="0.25">
      <c r="B119" s="39" t="s">
        <v>203</v>
      </c>
      <c r="C119" t="s">
        <v>1104</v>
      </c>
      <c r="M119" s="645"/>
    </row>
    <row r="120" spans="2:34" customFormat="1" x14ac:dyDescent="0.25">
      <c r="B120" s="20" t="s">
        <v>14</v>
      </c>
      <c r="C120" s="645">
        <f>SUMIFS(Camplist_Popl,Camplist_Township,'NFI Distribution by 12 Months'!$B120,CampList_Status,"Open")</f>
        <v>546</v>
      </c>
      <c r="M120" s="645"/>
    </row>
    <row r="121" spans="2:34" customFormat="1" x14ac:dyDescent="0.25">
      <c r="B121" s="20" t="s">
        <v>814</v>
      </c>
      <c r="C121" s="645">
        <f>SUMIFS(Camplist_Popl,Camplist_Township,'NFI Distribution by 12 Months'!$B121,CampList_Status,"Open")</f>
        <v>2690</v>
      </c>
      <c r="M121" s="645"/>
    </row>
    <row r="122" spans="2:34" customFormat="1" x14ac:dyDescent="0.25">
      <c r="B122" s="20" t="s">
        <v>13</v>
      </c>
      <c r="C122" s="645">
        <f>SUMIFS(Camplist_Popl,Camplist_Township,'NFI Distribution by 12 Months'!$B122,CampList_Status,"Open")</f>
        <v>22299</v>
      </c>
      <c r="M122" s="645"/>
    </row>
    <row r="123" spans="2:34" customFormat="1" x14ac:dyDescent="0.25">
      <c r="B123" s="20" t="s">
        <v>15</v>
      </c>
      <c r="C123" s="645">
        <f>SUMIFS(Camplist_Popl,Camplist_Township,'NFI Distribution by 12 Months'!$B123,CampList_Status,"Open")</f>
        <v>0</v>
      </c>
      <c r="M123" s="645"/>
    </row>
    <row r="124" spans="2:34" customFormat="1" x14ac:dyDescent="0.25">
      <c r="B124" s="20" t="s">
        <v>17</v>
      </c>
      <c r="C124" s="645">
        <f>SUMIFS(Camplist_Popl,Camplist_Township,'NFI Distribution by 12 Months'!$B124,CampList_Status,"Open")</f>
        <v>100848</v>
      </c>
      <c r="M124" s="645"/>
    </row>
    <row r="125" spans="2:34" customFormat="1" x14ac:dyDescent="0.25">
      <c r="B125" s="20" t="s">
        <v>929</v>
      </c>
      <c r="C125" s="15">
        <f>SUM(C120:C124)</f>
        <v>126383</v>
      </c>
      <c r="M125" s="645"/>
    </row>
    <row r="126" spans="2:34" x14ac:dyDescent="0.25">
      <c r="B126" s="20" t="s">
        <v>204</v>
      </c>
    </row>
    <row r="129" spans="1:15" ht="12" customHeight="1" x14ac:dyDescent="0.25"/>
    <row r="130" spans="1:15" ht="34.5" customHeight="1" x14ac:dyDescent="0.25">
      <c r="A130"/>
      <c r="C130" s="823" t="s">
        <v>1092</v>
      </c>
      <c r="D130" s="823" t="s">
        <v>1093</v>
      </c>
      <c r="E130" s="823" t="s">
        <v>1094</v>
      </c>
      <c r="F130" s="823" t="s">
        <v>1095</v>
      </c>
      <c r="G130" s="823" t="s">
        <v>1096</v>
      </c>
      <c r="H130" s="823" t="s">
        <v>1097</v>
      </c>
      <c r="I130" s="823" t="s">
        <v>1026</v>
      </c>
      <c r="J130" s="823" t="s">
        <v>1025</v>
      </c>
      <c r="K130" s="823" t="s">
        <v>1024</v>
      </c>
      <c r="L130" s="906" t="s">
        <v>1045</v>
      </c>
      <c r="M130" s="907" t="s">
        <v>1122</v>
      </c>
      <c r="N130" s="823" t="s">
        <v>1148</v>
      </c>
    </row>
    <row r="131" spans="1:15" ht="34.5" customHeight="1" thickBot="1" x14ac:dyDescent="0.3">
      <c r="A131"/>
      <c r="B131" s="825" t="s">
        <v>204</v>
      </c>
      <c r="C131" s="1091">
        <v>19064</v>
      </c>
      <c r="D131" s="1091">
        <v>8022</v>
      </c>
      <c r="E131" s="1091">
        <v>16170</v>
      </c>
      <c r="F131" s="1091">
        <v>8466</v>
      </c>
      <c r="G131" s="1091">
        <v>2184</v>
      </c>
      <c r="H131" s="1092">
        <v>75179</v>
      </c>
      <c r="I131" s="1091">
        <v>852</v>
      </c>
      <c r="J131" s="1091">
        <v>1437</v>
      </c>
      <c r="K131" s="1091">
        <v>0</v>
      </c>
      <c r="L131" s="1091">
        <v>703</v>
      </c>
      <c r="M131" s="1091">
        <v>37217</v>
      </c>
      <c r="N131" s="1091">
        <v>264</v>
      </c>
    </row>
    <row r="133" spans="1:15" x14ac:dyDescent="0.25">
      <c r="D133" s="823" t="s">
        <v>1092</v>
      </c>
      <c r="E133" s="823" t="s">
        <v>1093</v>
      </c>
      <c r="F133" s="823" t="s">
        <v>1094</v>
      </c>
      <c r="G133" s="823" t="s">
        <v>1095</v>
      </c>
      <c r="H133" s="823" t="s">
        <v>1096</v>
      </c>
      <c r="I133" s="823" t="s">
        <v>1097</v>
      </c>
      <c r="J133" s="823" t="s">
        <v>1026</v>
      </c>
      <c r="K133" s="823" t="s">
        <v>1025</v>
      </c>
      <c r="L133" s="823" t="s">
        <v>1024</v>
      </c>
      <c r="M133" s="906" t="s">
        <v>1045</v>
      </c>
      <c r="N133" s="907" t="s">
        <v>1122</v>
      </c>
      <c r="O133" s="823" t="s">
        <v>1148</v>
      </c>
    </row>
    <row r="134" spans="1:15" x14ac:dyDescent="0.25">
      <c r="C134" s="855" t="s">
        <v>273</v>
      </c>
      <c r="D134" s="845">
        <f>SUMIFS(NFI_Household,NFI_Org,C134,NFI_Mosquito_Track,"&lt;&gt;0" )</f>
        <v>728</v>
      </c>
      <c r="E134" s="845">
        <f t="shared" ref="E134:E143" si="44">SUMIFS(NFI_Household,NFI_Org,C134,NFI_Tarpaulin_Track,"&lt;&gt;0" )</f>
        <v>808</v>
      </c>
      <c r="F134" s="853">
        <f t="shared" ref="F134:F143" si="45">SUMIFS(NFI_Household,NFI_Org,C134,NFI_Blanket_Track,"&lt;&gt;0" )</f>
        <v>0</v>
      </c>
      <c r="G134" s="853">
        <f t="shared" ref="G134:G143" si="46">SUMIFS(NFI_Household,NFI_Org,C134,NFI_Kitchen_Track,"&lt;&gt;0" )</f>
        <v>728</v>
      </c>
      <c r="H134" s="853">
        <f t="shared" ref="H134:H143" si="47">SUMIFS(NFI_Household,NFI_Org,C134,NFI_Complementary_Track,"&lt;&gt;0" )</f>
        <v>728</v>
      </c>
      <c r="I134" s="853">
        <f t="shared" ref="I134:I143" si="48">SUMIFS(NFI_Household,NFI_Org,C134,NFI_Plastic_Mat_Track,"&lt;&gt;0" )</f>
        <v>0</v>
      </c>
      <c r="J134" s="853">
        <f t="shared" ref="J134:J143" si="49">SUMIFS(NFI_Household,NFI_Org,C134,NFI_Adult_Clothes_Track,"&lt;&gt;0" )</f>
        <v>852</v>
      </c>
      <c r="K134" s="853">
        <f t="shared" ref="K134:K143" si="50">SUMIFS(NFI_Household,NFI_Org,C134,NFI_Children_Clothes_Track,"&lt;&gt;0" )</f>
        <v>852</v>
      </c>
      <c r="L134" s="853">
        <f t="shared" ref="L134:L143" si="51">SUMIFS(NFI_Household,NFI_Org,C134,NFI_Sewing_Kit_Track,"&lt;&gt;0" )</f>
        <v>0</v>
      </c>
      <c r="M134" s="845">
        <f t="shared" ref="M134:M143" si="52">SUMIFS(NFI_Household,NFI_Org,C134,NFI_Solar_Lantern_Track,"&lt;&gt;0" )</f>
        <v>0</v>
      </c>
      <c r="N134" s="845">
        <f>SUMIFS(NFI_Household,NFI_Org,C134,NFI_Core_Track,"&lt;&gt;0" )</f>
        <v>0</v>
      </c>
      <c r="O134" s="845">
        <f t="shared" ref="O134:O143" si="53">SUMIFS(NFI_Household,NFI_Org,C134,Rope_Track_tt,"&gt;=1" )</f>
        <v>264</v>
      </c>
    </row>
    <row r="135" spans="1:15" x14ac:dyDescent="0.25">
      <c r="C135" s="1061" t="s">
        <v>575</v>
      </c>
      <c r="D135" s="845">
        <f t="shared" ref="D135:D143" si="54">SUMIFS(NFI_Household,NFI_Org,C135,NFI_Mosquito_Track,"&lt;&gt;0" )</f>
        <v>60</v>
      </c>
      <c r="E135" s="845">
        <f t="shared" si="44"/>
        <v>40</v>
      </c>
      <c r="F135" s="853">
        <f t="shared" si="45"/>
        <v>0</v>
      </c>
      <c r="G135" s="853">
        <f t="shared" si="46"/>
        <v>0</v>
      </c>
      <c r="H135" s="853">
        <f t="shared" si="47"/>
        <v>0</v>
      </c>
      <c r="I135" s="853">
        <f t="shared" si="48"/>
        <v>60</v>
      </c>
      <c r="J135" s="853">
        <f t="shared" si="49"/>
        <v>0</v>
      </c>
      <c r="K135" s="853">
        <f t="shared" si="50"/>
        <v>0</v>
      </c>
      <c r="L135" s="853">
        <f t="shared" si="51"/>
        <v>0</v>
      </c>
      <c r="M135" s="845">
        <f t="shared" si="52"/>
        <v>60</v>
      </c>
      <c r="N135" s="845">
        <f t="shared" ref="N135:N143" si="55">SUMIFS(NFI_Household,NFI_Org,C135,NFI_Core_Track,"&lt;&gt;0" )</f>
        <v>0</v>
      </c>
      <c r="O135" s="845">
        <f t="shared" si="53"/>
        <v>0</v>
      </c>
    </row>
    <row r="136" spans="1:15" x14ac:dyDescent="0.25">
      <c r="C136" s="855" t="s">
        <v>1027</v>
      </c>
      <c r="D136" s="845">
        <f t="shared" si="54"/>
        <v>150</v>
      </c>
      <c r="E136" s="845">
        <f t="shared" si="44"/>
        <v>0</v>
      </c>
      <c r="F136" s="853">
        <f t="shared" si="45"/>
        <v>0</v>
      </c>
      <c r="G136" s="853">
        <f t="shared" si="46"/>
        <v>0</v>
      </c>
      <c r="H136" s="853">
        <f t="shared" si="47"/>
        <v>0</v>
      </c>
      <c r="I136" s="853">
        <f t="shared" si="48"/>
        <v>0</v>
      </c>
      <c r="J136" s="853">
        <f t="shared" si="49"/>
        <v>0</v>
      </c>
      <c r="K136" s="853">
        <f t="shared" si="50"/>
        <v>0</v>
      </c>
      <c r="L136" s="853">
        <f t="shared" si="51"/>
        <v>0</v>
      </c>
      <c r="M136" s="845">
        <f t="shared" si="52"/>
        <v>0</v>
      </c>
      <c r="N136" s="845">
        <f t="shared" si="55"/>
        <v>0</v>
      </c>
      <c r="O136" s="845">
        <f t="shared" si="53"/>
        <v>0</v>
      </c>
    </row>
    <row r="137" spans="1:15" x14ac:dyDescent="0.25">
      <c r="C137" s="855" t="s">
        <v>904</v>
      </c>
      <c r="D137" s="845">
        <f t="shared" si="54"/>
        <v>283</v>
      </c>
      <c r="E137" s="845">
        <f t="shared" si="44"/>
        <v>0</v>
      </c>
      <c r="F137" s="853">
        <f t="shared" si="45"/>
        <v>283</v>
      </c>
      <c r="G137" s="853">
        <f t="shared" si="46"/>
        <v>283</v>
      </c>
      <c r="H137" s="853">
        <f t="shared" si="47"/>
        <v>0</v>
      </c>
      <c r="I137" s="853">
        <f t="shared" si="48"/>
        <v>0</v>
      </c>
      <c r="J137" s="853">
        <f t="shared" si="49"/>
        <v>0</v>
      </c>
      <c r="K137" s="853">
        <f t="shared" si="50"/>
        <v>0</v>
      </c>
      <c r="L137" s="853">
        <f t="shared" si="51"/>
        <v>0</v>
      </c>
      <c r="M137" s="845">
        <f t="shared" si="52"/>
        <v>348</v>
      </c>
      <c r="N137" s="845">
        <f t="shared" si="55"/>
        <v>0</v>
      </c>
      <c r="O137" s="845">
        <f t="shared" si="53"/>
        <v>0</v>
      </c>
    </row>
    <row r="138" spans="1:15" x14ac:dyDescent="0.25">
      <c r="C138" s="855" t="s">
        <v>1035</v>
      </c>
      <c r="D138" s="845">
        <f t="shared" si="54"/>
        <v>0</v>
      </c>
      <c r="E138" s="845">
        <f t="shared" si="44"/>
        <v>0</v>
      </c>
      <c r="F138" s="853">
        <f t="shared" si="45"/>
        <v>0</v>
      </c>
      <c r="G138" s="853">
        <f t="shared" si="46"/>
        <v>0</v>
      </c>
      <c r="H138" s="853">
        <f t="shared" si="47"/>
        <v>0</v>
      </c>
      <c r="I138" s="853">
        <f t="shared" si="48"/>
        <v>0</v>
      </c>
      <c r="J138" s="853">
        <f t="shared" si="49"/>
        <v>0</v>
      </c>
      <c r="K138" s="853">
        <f t="shared" si="50"/>
        <v>0</v>
      </c>
      <c r="L138" s="853">
        <f t="shared" si="51"/>
        <v>0</v>
      </c>
      <c r="M138" s="845">
        <f t="shared" si="52"/>
        <v>0</v>
      </c>
      <c r="N138" s="845">
        <f t="shared" si="55"/>
        <v>720</v>
      </c>
      <c r="O138" s="845">
        <f t="shared" si="53"/>
        <v>0</v>
      </c>
    </row>
    <row r="139" spans="1:15" x14ac:dyDescent="0.25">
      <c r="C139" s="855" t="s">
        <v>1016</v>
      </c>
      <c r="D139" s="845">
        <f t="shared" si="54"/>
        <v>1249</v>
      </c>
      <c r="E139" s="845">
        <f t="shared" si="44"/>
        <v>1249</v>
      </c>
      <c r="F139" s="853">
        <f t="shared" si="45"/>
        <v>1249</v>
      </c>
      <c r="G139" s="853">
        <f t="shared" si="46"/>
        <v>0</v>
      </c>
      <c r="H139" s="853">
        <f t="shared" si="47"/>
        <v>0</v>
      </c>
      <c r="I139" s="853">
        <f t="shared" si="48"/>
        <v>0</v>
      </c>
      <c r="J139" s="853">
        <f t="shared" si="49"/>
        <v>0</v>
      </c>
      <c r="K139" s="853">
        <f t="shared" si="50"/>
        <v>0</v>
      </c>
      <c r="L139" s="853">
        <f t="shared" si="51"/>
        <v>0</v>
      </c>
      <c r="M139" s="845">
        <f t="shared" si="52"/>
        <v>0</v>
      </c>
      <c r="N139" s="845">
        <f t="shared" si="55"/>
        <v>0</v>
      </c>
      <c r="O139" s="845">
        <f t="shared" si="53"/>
        <v>0</v>
      </c>
    </row>
    <row r="140" spans="1:15" x14ac:dyDescent="0.25">
      <c r="C140" s="855" t="s">
        <v>270</v>
      </c>
      <c r="D140" s="845">
        <f t="shared" si="54"/>
        <v>8300</v>
      </c>
      <c r="E140" s="845">
        <f t="shared" si="44"/>
        <v>4843</v>
      </c>
      <c r="F140" s="853">
        <f t="shared" si="45"/>
        <v>8350</v>
      </c>
      <c r="G140" s="853">
        <f t="shared" si="46"/>
        <v>9640</v>
      </c>
      <c r="H140" s="853">
        <f t="shared" si="47"/>
        <v>0</v>
      </c>
      <c r="I140" s="853">
        <f t="shared" si="48"/>
        <v>8350</v>
      </c>
      <c r="J140" s="853">
        <f t="shared" si="49"/>
        <v>0</v>
      </c>
      <c r="K140" s="853">
        <f t="shared" si="50"/>
        <v>0</v>
      </c>
      <c r="L140" s="853">
        <f t="shared" si="51"/>
        <v>0</v>
      </c>
      <c r="M140" s="845">
        <f t="shared" si="52"/>
        <v>0</v>
      </c>
      <c r="N140" s="845">
        <f t="shared" si="55"/>
        <v>0</v>
      </c>
      <c r="O140" s="845">
        <f t="shared" si="53"/>
        <v>0</v>
      </c>
    </row>
    <row r="141" spans="1:15" x14ac:dyDescent="0.25">
      <c r="C141" s="888" t="s">
        <v>272</v>
      </c>
      <c r="D141" s="845">
        <f t="shared" si="54"/>
        <v>0</v>
      </c>
      <c r="E141" s="845">
        <f t="shared" si="44"/>
        <v>0</v>
      </c>
      <c r="F141" s="853">
        <f t="shared" si="45"/>
        <v>0</v>
      </c>
      <c r="G141" s="853">
        <f t="shared" si="46"/>
        <v>0</v>
      </c>
      <c r="H141" s="853">
        <f t="shared" si="47"/>
        <v>0</v>
      </c>
      <c r="I141" s="853">
        <f t="shared" si="48"/>
        <v>0</v>
      </c>
      <c r="J141" s="853">
        <f t="shared" si="49"/>
        <v>0</v>
      </c>
      <c r="K141" s="853">
        <f t="shared" si="50"/>
        <v>0</v>
      </c>
      <c r="L141" s="853">
        <f t="shared" si="51"/>
        <v>0</v>
      </c>
      <c r="M141" s="845">
        <f t="shared" si="52"/>
        <v>0</v>
      </c>
      <c r="N141" s="845">
        <f t="shared" si="55"/>
        <v>0</v>
      </c>
      <c r="O141" s="845">
        <f t="shared" si="53"/>
        <v>0</v>
      </c>
    </row>
    <row r="142" spans="1:15" x14ac:dyDescent="0.25">
      <c r="C142" s="899" t="s">
        <v>1119</v>
      </c>
      <c r="D142" s="845">
        <f t="shared" si="54"/>
        <v>0</v>
      </c>
      <c r="E142" s="845">
        <f t="shared" si="44"/>
        <v>0</v>
      </c>
      <c r="F142" s="853">
        <f t="shared" si="45"/>
        <v>0</v>
      </c>
      <c r="G142" s="853">
        <f t="shared" si="46"/>
        <v>0</v>
      </c>
      <c r="H142" s="853">
        <f t="shared" si="47"/>
        <v>0</v>
      </c>
      <c r="I142" s="853">
        <f t="shared" si="48"/>
        <v>0</v>
      </c>
      <c r="J142" s="853">
        <f t="shared" si="49"/>
        <v>0</v>
      </c>
      <c r="K142" s="853">
        <f t="shared" si="50"/>
        <v>0</v>
      </c>
      <c r="L142" s="853">
        <f t="shared" si="51"/>
        <v>0</v>
      </c>
      <c r="M142" s="845">
        <f t="shared" si="52"/>
        <v>0</v>
      </c>
      <c r="N142" s="845">
        <f t="shared" si="55"/>
        <v>27904</v>
      </c>
      <c r="O142" s="845">
        <f t="shared" si="53"/>
        <v>0</v>
      </c>
    </row>
    <row r="143" spans="1:15" x14ac:dyDescent="0.25">
      <c r="C143" s="855" t="s">
        <v>282</v>
      </c>
      <c r="D143" s="845">
        <f t="shared" si="54"/>
        <v>300</v>
      </c>
      <c r="E143" s="845">
        <f t="shared" si="44"/>
        <v>0</v>
      </c>
      <c r="F143" s="853">
        <f t="shared" si="45"/>
        <v>0</v>
      </c>
      <c r="G143" s="853">
        <f t="shared" si="46"/>
        <v>300</v>
      </c>
      <c r="H143" s="853">
        <f t="shared" si="47"/>
        <v>0</v>
      </c>
      <c r="I143" s="853">
        <f t="shared" si="48"/>
        <v>300</v>
      </c>
      <c r="J143" s="853">
        <f t="shared" si="49"/>
        <v>0</v>
      </c>
      <c r="K143" s="853">
        <f t="shared" si="50"/>
        <v>1042</v>
      </c>
      <c r="L143" s="853">
        <f t="shared" si="51"/>
        <v>0</v>
      </c>
      <c r="M143" s="845">
        <f t="shared" si="52"/>
        <v>300</v>
      </c>
      <c r="N143" s="845">
        <f t="shared" si="55"/>
        <v>0</v>
      </c>
      <c r="O143" s="845">
        <f t="shared" si="53"/>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H50" sqref="H50"/>
    </sheetView>
  </sheetViews>
  <sheetFormatPr defaultColWidth="11.42578125" defaultRowHeight="15" x14ac:dyDescent="0.2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41" customWidth="1"/>
    <col min="15" max="15" width="42.5703125" style="841"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x14ac:dyDescent="0.3">
      <c r="B1" s="37"/>
      <c r="M1" s="37"/>
      <c r="N1" s="841"/>
      <c r="O1" s="841"/>
      <c r="P1" s="37"/>
      <c r="Q1" s="37"/>
      <c r="R1" s="37"/>
      <c r="S1" s="37"/>
      <c r="T1" s="37"/>
      <c r="U1" s="37"/>
      <c r="V1" s="37"/>
      <c r="W1" s="37"/>
    </row>
    <row r="2" spans="1:56" s="78" customFormat="1" ht="6.75" customHeight="1" x14ac:dyDescent="0.25">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x14ac:dyDescent="0.4">
      <c r="A3" s="348"/>
      <c r="B3" s="344"/>
      <c r="C3" s="344"/>
      <c r="D3" s="344"/>
      <c r="E3" s="344"/>
      <c r="F3" s="344"/>
      <c r="G3" s="344"/>
      <c r="H3" s="344"/>
      <c r="I3" s="344"/>
      <c r="J3" s="344"/>
      <c r="K3" s="344"/>
      <c r="L3" s="344"/>
      <c r="M3" s="202"/>
      <c r="N3" s="202"/>
      <c r="O3" s="842">
        <v>1</v>
      </c>
      <c r="P3" s="37"/>
      <c r="Q3" s="37"/>
      <c r="R3" s="37"/>
      <c r="S3" s="840"/>
      <c r="BC3" s="57"/>
      <c r="BD3" s="57"/>
    </row>
    <row r="4" spans="1:56" s="1" customFormat="1" ht="33" customHeight="1" x14ac:dyDescent="0.35">
      <c r="A4" s="374"/>
      <c r="B4" s="1253" t="s">
        <v>1098</v>
      </c>
      <c r="C4" s="1253"/>
      <c r="D4" s="1253"/>
      <c r="E4" s="1253"/>
      <c r="F4" s="1253"/>
      <c r="G4" s="1253"/>
      <c r="H4" s="843"/>
      <c r="I4" s="843"/>
      <c r="J4" s="843"/>
      <c r="K4" s="843"/>
      <c r="L4" s="843"/>
      <c r="M4" s="844"/>
      <c r="N4" s="844"/>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4.5" thickBot="1" x14ac:dyDescent="0.4">
      <c r="A5" s="1064"/>
      <c r="B5" s="1252">
        <f>Report_Date</f>
        <v>43434</v>
      </c>
      <c r="C5" s="1252"/>
      <c r="D5" s="1252"/>
      <c r="E5" s="1252"/>
      <c r="F5" s="1252"/>
      <c r="G5" s="1065"/>
      <c r="H5" s="1065"/>
      <c r="I5" s="1065"/>
      <c r="J5" s="1065"/>
      <c r="K5" s="1065"/>
      <c r="L5" s="1065"/>
      <c r="M5" s="1066"/>
      <c r="N5" s="1066"/>
      <c r="O5" s="1067"/>
      <c r="T5" s="78"/>
      <c r="U5" s="78"/>
      <c r="V5" s="78"/>
      <c r="W5" s="78"/>
      <c r="X5" s="78"/>
      <c r="Y5" s="78"/>
      <c r="Z5" s="78"/>
      <c r="AA5" s="78"/>
      <c r="AB5" s="78"/>
      <c r="AC5" s="78"/>
      <c r="AD5" s="78"/>
      <c r="AE5" s="78"/>
      <c r="AF5" s="78"/>
      <c r="AG5" s="78"/>
      <c r="AH5" s="78"/>
      <c r="AI5" s="78"/>
      <c r="AJ5" s="78"/>
      <c r="AK5" s="78"/>
      <c r="AL5" s="78"/>
      <c r="AM5" s="78"/>
      <c r="AW5" s="58"/>
      <c r="AX5" s="58"/>
    </row>
    <row r="6" spans="1:56" ht="36" x14ac:dyDescent="0.55000000000000004">
      <c r="A6" s="48"/>
      <c r="B6" s="371" t="s">
        <v>7</v>
      </c>
      <c r="D6" s="372">
        <f>'NFI Distribution by 12 Months'!AA33</f>
        <v>24683</v>
      </c>
      <c r="E6" s="38"/>
      <c r="F6" s="38"/>
      <c r="G6" s="38"/>
      <c r="H6" s="38"/>
      <c r="I6" s="38"/>
      <c r="J6" s="38"/>
      <c r="K6" s="38"/>
      <c r="L6" s="38"/>
      <c r="M6" s="370"/>
      <c r="N6" s="370"/>
      <c r="O6" s="366"/>
      <c r="P6" s="1052"/>
    </row>
    <row r="7" spans="1:56" s="78" customFormat="1" ht="34.5" customHeight="1" x14ac:dyDescent="0.25">
      <c r="A7" s="48"/>
      <c r="B7" s="38"/>
      <c r="C7" s="38"/>
      <c r="D7" s="38"/>
      <c r="E7" s="38"/>
      <c r="F7" s="38"/>
      <c r="G7" s="38"/>
      <c r="H7" s="38"/>
      <c r="I7" s="38"/>
      <c r="J7" s="38"/>
      <c r="K7" s="38"/>
      <c r="L7" s="38"/>
      <c r="M7" s="38"/>
      <c r="N7" s="38"/>
      <c r="O7" s="836">
        <v>1</v>
      </c>
      <c r="P7" s="37"/>
      <c r="Q7" s="37"/>
      <c r="R7" s="37"/>
      <c r="S7" s="37"/>
      <c r="T7" s="37"/>
      <c r="U7" s="37"/>
      <c r="V7" s="37"/>
      <c r="W7" s="37"/>
    </row>
    <row r="8" spans="1:56" x14ac:dyDescent="0.25">
      <c r="A8" s="48"/>
      <c r="B8" s="38"/>
      <c r="C8" s="38"/>
      <c r="D8" s="38"/>
      <c r="E8" s="38"/>
      <c r="F8" s="38"/>
      <c r="G8" s="38"/>
      <c r="H8" s="38"/>
      <c r="I8" s="38"/>
      <c r="J8" s="38"/>
      <c r="K8" s="38"/>
      <c r="L8" s="38"/>
      <c r="M8" s="38"/>
      <c r="N8" s="38"/>
      <c r="O8" s="836">
        <v>1</v>
      </c>
    </row>
    <row r="9" spans="1:56" ht="27" customHeight="1" x14ac:dyDescent="0.25">
      <c r="A9" s="48"/>
      <c r="B9" s="38"/>
      <c r="C9" s="38"/>
      <c r="D9" s="38"/>
      <c r="E9" s="38"/>
      <c r="F9" s="38"/>
      <c r="G9" s="38"/>
      <c r="H9" s="38"/>
      <c r="I9" s="38"/>
      <c r="J9" s="38"/>
      <c r="K9" s="38"/>
      <c r="L9" s="38"/>
      <c r="M9" s="38"/>
      <c r="N9" s="38"/>
      <c r="O9" s="836">
        <v>1</v>
      </c>
    </row>
    <row r="10" spans="1:56" s="78" customFormat="1" ht="3.75" customHeight="1" x14ac:dyDescent="0.25">
      <c r="A10" s="48"/>
      <c r="B10" s="38"/>
      <c r="C10" s="38"/>
      <c r="D10" s="38"/>
      <c r="E10" s="38"/>
      <c r="F10" s="38"/>
      <c r="G10" s="38"/>
      <c r="H10" s="38"/>
      <c r="I10" s="38"/>
      <c r="J10" s="38"/>
      <c r="K10" s="38"/>
      <c r="L10" s="38"/>
      <c r="M10" s="38"/>
      <c r="N10" s="38"/>
      <c r="O10" s="836"/>
      <c r="P10" s="37"/>
      <c r="Q10" s="37"/>
    </row>
    <row r="11" spans="1:56" s="230" customFormat="1" ht="39.75" customHeight="1" x14ac:dyDescent="0.25">
      <c r="A11" s="377"/>
      <c r="B11" s="1045" t="s">
        <v>543</v>
      </c>
      <c r="C11" s="1046" t="s">
        <v>993</v>
      </c>
      <c r="D11" s="1046" t="s">
        <v>992</v>
      </c>
      <c r="E11" s="1046" t="s">
        <v>1106</v>
      </c>
      <c r="F11" s="1046" t="s">
        <v>989</v>
      </c>
      <c r="G11" s="1046" t="s">
        <v>1105</v>
      </c>
      <c r="H11" s="1047" t="s">
        <v>1099</v>
      </c>
      <c r="I11" s="1047" t="s">
        <v>1100</v>
      </c>
      <c r="J11" s="1048" t="s">
        <v>1101</v>
      </c>
      <c r="K11" s="1048" t="s">
        <v>1102</v>
      </c>
      <c r="L11" s="1051" t="s">
        <v>1125</v>
      </c>
      <c r="N11" s="838"/>
      <c r="O11" s="836">
        <v>1</v>
      </c>
      <c r="P11" s="324"/>
      <c r="Q11" s="324"/>
    </row>
    <row r="12" spans="1:56" s="230" customFormat="1" x14ac:dyDescent="0.25">
      <c r="A12" s="377"/>
      <c r="B12" s="1043" t="s">
        <v>552</v>
      </c>
      <c r="C12" s="974">
        <f>$D$6</f>
        <v>24683</v>
      </c>
      <c r="D12" s="975">
        <f>'NFI Distribution by 12 Months'!C23</f>
        <v>11070</v>
      </c>
      <c r="E12" s="976">
        <f>IF((D12/C12)&gt;100%,100%,(D12/C12))</f>
        <v>0.44848681278612812</v>
      </c>
      <c r="F12" s="975">
        <f>C12-D12</f>
        <v>13613</v>
      </c>
      <c r="G12" s="1020">
        <f>IF(F12/C12&lt;0,0,F12/C12)</f>
        <v>0.55151318721387188</v>
      </c>
      <c r="H12" s="977">
        <f>'NFI Distribution by 12 Months'!C125</f>
        <v>126383</v>
      </c>
      <c r="I12" s="978">
        <f>SUMIFS(NFI_Individual,NFI_Mosquito_Track,"&lt;&gt;0" )</f>
        <v>50697</v>
      </c>
      <c r="J12" s="979">
        <f>IF(I12/H12&gt;100%,100%,I12/H12)</f>
        <v>0.40113781125626075</v>
      </c>
      <c r="K12" s="980">
        <f>H12-I12</f>
        <v>75686</v>
      </c>
      <c r="L12" s="1044">
        <f>IF(K12/H12&lt;0,0,K12/H12)</f>
        <v>0.59886218874373931</v>
      </c>
      <c r="N12" s="839"/>
      <c r="O12" s="373"/>
      <c r="P12" s="324"/>
      <c r="Q12" s="324"/>
    </row>
    <row r="13" spans="1:56" s="230" customFormat="1" x14ac:dyDescent="0.25">
      <c r="A13" s="377"/>
      <c r="B13" s="1043" t="s">
        <v>286</v>
      </c>
      <c r="C13" s="974">
        <f t="shared" ref="C13:C22" si="0">$D$6</f>
        <v>24683</v>
      </c>
      <c r="D13" s="975">
        <f>'NFI Distribution by 12 Months'!D23</f>
        <v>6940</v>
      </c>
      <c r="E13" s="976">
        <f t="shared" ref="E13:E22" si="1">IF((D13/C13)&gt;100%,100%,(D13/C13))</f>
        <v>0.28116517441153832</v>
      </c>
      <c r="F13" s="975">
        <f t="shared" ref="F13:F20" si="2">C13-D13</f>
        <v>17743</v>
      </c>
      <c r="G13" s="1020">
        <f t="shared" ref="G13:G22" si="3">IF(F13/C13&lt;0,0,F13/C13)</f>
        <v>0.71883482558846168</v>
      </c>
      <c r="H13" s="977">
        <f>'NFI Distribution by 12 Months'!C125</f>
        <v>126383</v>
      </c>
      <c r="I13" s="978">
        <f>SUMIFS(NFI_Individual,NFI_Tarpaulin_Track,"&lt;&gt;0" )</f>
        <v>33239</v>
      </c>
      <c r="J13" s="979">
        <f t="shared" ref="J13:J22" si="4">IF(I13/H13&gt;100%,100%,I13/H13)</f>
        <v>0.26300214427573326</v>
      </c>
      <c r="K13" s="980">
        <f t="shared" ref="K13:K22" si="5">H13-I13</f>
        <v>93144</v>
      </c>
      <c r="L13" s="1044">
        <f t="shared" ref="L13:L22" si="6">IF(K13/H13&lt;0,0,K13/H13)</f>
        <v>0.73699785572426668</v>
      </c>
      <c r="N13" s="839"/>
      <c r="O13" s="373"/>
      <c r="P13" s="324"/>
      <c r="Q13" s="324"/>
    </row>
    <row r="14" spans="1:56" s="230" customFormat="1" x14ac:dyDescent="0.25">
      <c r="A14" s="377"/>
      <c r="B14" s="1043" t="s">
        <v>218</v>
      </c>
      <c r="C14" s="974">
        <f t="shared" si="0"/>
        <v>24683</v>
      </c>
      <c r="D14" s="975">
        <f>'NFI Distribution by 12 Months'!E23</f>
        <v>9882</v>
      </c>
      <c r="E14" s="976">
        <f t="shared" si="1"/>
        <v>0.40035652068225092</v>
      </c>
      <c r="F14" s="975">
        <f t="shared" si="2"/>
        <v>14801</v>
      </c>
      <c r="G14" s="1020">
        <f t="shared" si="3"/>
        <v>0.59964347931774908</v>
      </c>
      <c r="H14" s="977">
        <f>'NFI Distribution by 12 Months'!C125</f>
        <v>126383</v>
      </c>
      <c r="I14" s="978">
        <f>SUMIFS(NFI_Individual,NFI_Blanket_Track,"&lt;&gt;0" )</f>
        <v>44321</v>
      </c>
      <c r="J14" s="979">
        <f t="shared" si="4"/>
        <v>0.35068798809966528</v>
      </c>
      <c r="K14" s="980">
        <f t="shared" si="5"/>
        <v>82062</v>
      </c>
      <c r="L14" s="1044">
        <f t="shared" si="6"/>
        <v>0.64931201190033472</v>
      </c>
      <c r="N14" s="839"/>
      <c r="O14" s="373"/>
      <c r="P14" s="324"/>
      <c r="Q14" s="324"/>
    </row>
    <row r="15" spans="1:56" s="230" customFormat="1" x14ac:dyDescent="0.25">
      <c r="A15" s="377"/>
      <c r="B15" s="1043" t="s">
        <v>219</v>
      </c>
      <c r="C15" s="974">
        <f t="shared" si="0"/>
        <v>24683</v>
      </c>
      <c r="D15" s="975">
        <f>'NFI Distribution by 12 Months'!F23</f>
        <v>10951</v>
      </c>
      <c r="E15" s="976">
        <f t="shared" si="1"/>
        <v>0.44366568083296198</v>
      </c>
      <c r="F15" s="975">
        <f t="shared" si="2"/>
        <v>13732</v>
      </c>
      <c r="G15" s="1020">
        <f t="shared" si="3"/>
        <v>0.55633431916703802</v>
      </c>
      <c r="H15" s="977">
        <f>'NFI Distribution by 12 Months'!C125</f>
        <v>126383</v>
      </c>
      <c r="I15" s="978">
        <f>SUMIFS(NFI_Individual,NFI_Kitchen_Track,"&lt;&gt;0" )</f>
        <v>52708</v>
      </c>
      <c r="J15" s="979">
        <f t="shared" si="4"/>
        <v>0.41704976143943412</v>
      </c>
      <c r="K15" s="980">
        <f t="shared" si="5"/>
        <v>73675</v>
      </c>
      <c r="L15" s="1044">
        <f t="shared" si="6"/>
        <v>0.58295023856056594</v>
      </c>
      <c r="N15" s="839"/>
      <c r="O15" s="373"/>
      <c r="P15" s="324"/>
      <c r="Q15" s="324"/>
    </row>
    <row r="16" spans="1:56" s="230" customFormat="1" x14ac:dyDescent="0.25">
      <c r="A16" s="377"/>
      <c r="B16" s="1043" t="s">
        <v>310</v>
      </c>
      <c r="C16" s="974">
        <f t="shared" si="0"/>
        <v>24683</v>
      </c>
      <c r="D16" s="975">
        <f>'NFI Distribution by 12 Months'!G23</f>
        <v>728</v>
      </c>
      <c r="E16" s="976">
        <f t="shared" si="1"/>
        <v>2.9493983713487014E-2</v>
      </c>
      <c r="F16" s="975">
        <f t="shared" si="2"/>
        <v>23955</v>
      </c>
      <c r="G16" s="1020">
        <f t="shared" si="3"/>
        <v>0.97050601628651301</v>
      </c>
      <c r="H16" s="977">
        <f>'NFI Distribution by 12 Months'!C125</f>
        <v>126383</v>
      </c>
      <c r="I16" s="981">
        <f>SUMIFS(NFI_Individual,NFI_Complementary_Track,"&lt;&gt;0" )</f>
        <v>4080</v>
      </c>
      <c r="J16" s="979">
        <f t="shared" si="4"/>
        <v>3.2282822848009624E-2</v>
      </c>
      <c r="K16" s="980">
        <f t="shared" si="5"/>
        <v>122303</v>
      </c>
      <c r="L16" s="1044">
        <f t="shared" si="6"/>
        <v>0.96771717715199035</v>
      </c>
      <c r="N16" s="839"/>
      <c r="O16" s="373"/>
      <c r="P16" s="324"/>
      <c r="Q16" s="324"/>
    </row>
    <row r="17" spans="1:28" s="230" customFormat="1" x14ac:dyDescent="0.25">
      <c r="A17" s="377"/>
      <c r="B17" s="1043" t="s">
        <v>536</v>
      </c>
      <c r="C17" s="974">
        <f t="shared" si="0"/>
        <v>24683</v>
      </c>
      <c r="D17" s="975">
        <f>'NFI Distribution by 12 Months'!H23</f>
        <v>8710</v>
      </c>
      <c r="E17" s="976">
        <f>IF((D17/C17)&gt;100%,100%,(D17/C17))</f>
        <v>0.35287444800064821</v>
      </c>
      <c r="F17" s="975">
        <f t="shared" si="2"/>
        <v>15973</v>
      </c>
      <c r="G17" s="1020">
        <f t="shared" si="3"/>
        <v>0.64712555199935173</v>
      </c>
      <c r="H17" s="977">
        <f>'NFI Distribution by 12 Months'!C125</f>
        <v>126383</v>
      </c>
      <c r="I17" s="978">
        <f>SUMIFS(NFI_Individual,NFI_Plastic_Mat_Track,"&lt;&gt;0" )</f>
        <v>41139</v>
      </c>
      <c r="J17" s="979">
        <f t="shared" si="4"/>
        <v>0.32551055126084993</v>
      </c>
      <c r="K17" s="980">
        <f t="shared" si="5"/>
        <v>85244</v>
      </c>
      <c r="L17" s="1044">
        <f t="shared" si="6"/>
        <v>0.67448944873915007</v>
      </c>
      <c r="N17" s="839"/>
      <c r="O17" s="373"/>
      <c r="P17" s="324"/>
      <c r="Q17" s="324"/>
    </row>
    <row r="18" spans="1:28" s="230" customFormat="1" x14ac:dyDescent="0.25">
      <c r="A18" s="377"/>
      <c r="B18" s="1043" t="s">
        <v>1026</v>
      </c>
      <c r="C18" s="974">
        <f t="shared" si="0"/>
        <v>24683</v>
      </c>
      <c r="D18" s="975">
        <f>'NFI Distribution by 12 Months'!I23</f>
        <v>852</v>
      </c>
      <c r="E18" s="976">
        <f>IF((D18/C18)&gt;100%,100%,(D18/C18))</f>
        <v>3.4517684236113927E-2</v>
      </c>
      <c r="F18" s="975">
        <f t="shared" si="2"/>
        <v>23831</v>
      </c>
      <c r="G18" s="1020">
        <f t="shared" si="3"/>
        <v>0.9654823157638861</v>
      </c>
      <c r="H18" s="977">
        <f>'NFI Distribution by 12 Months'!C125</f>
        <v>126383</v>
      </c>
      <c r="I18" s="978">
        <f>SUMIFS(NFI_Individual,NFI_Adult_Clothes_Track,"&lt;&gt;0" )</f>
        <v>852</v>
      </c>
      <c r="J18" s="979">
        <f t="shared" si="4"/>
        <v>6.7414130064961265E-3</v>
      </c>
      <c r="K18" s="980">
        <f t="shared" si="5"/>
        <v>125531</v>
      </c>
      <c r="L18" s="1044">
        <f t="shared" si="6"/>
        <v>0.99325858699350389</v>
      </c>
      <c r="N18" s="839"/>
      <c r="O18" s="373"/>
      <c r="P18" s="324"/>
      <c r="Q18" s="324"/>
    </row>
    <row r="19" spans="1:28" s="230" customFormat="1" x14ac:dyDescent="0.25">
      <c r="A19" s="377"/>
      <c r="B19" s="1043" t="s">
        <v>1014</v>
      </c>
      <c r="C19" s="974">
        <f t="shared" si="0"/>
        <v>24683</v>
      </c>
      <c r="D19" s="975">
        <f>'NFI Distribution by 12 Months'!J23</f>
        <v>1894</v>
      </c>
      <c r="E19" s="976">
        <f t="shared" ref="E19:E20" si="7">IF((D19/C19)&gt;100%,100%,(D19/C19))</f>
        <v>7.6732974111736824E-2</v>
      </c>
      <c r="F19" s="975">
        <f t="shared" si="2"/>
        <v>22789</v>
      </c>
      <c r="G19" s="1020">
        <f t="shared" si="3"/>
        <v>0.92326702588826315</v>
      </c>
      <c r="H19" s="977">
        <f>'NFI Distribution by 12 Months'!C125</f>
        <v>126383</v>
      </c>
      <c r="I19" s="978">
        <f>SUMIFS(NFI_Individual,NFI_Children_Clothes_Track,"&lt;&gt;0" )</f>
        <v>2026</v>
      </c>
      <c r="J19" s="979">
        <f t="shared" si="4"/>
        <v>1.6030637031879288E-2</v>
      </c>
      <c r="K19" s="980">
        <f t="shared" si="5"/>
        <v>124357</v>
      </c>
      <c r="L19" s="1044">
        <f t="shared" si="6"/>
        <v>0.98396936296812076</v>
      </c>
      <c r="N19" s="839"/>
      <c r="O19" s="373"/>
      <c r="P19" s="324"/>
      <c r="Q19" s="324"/>
    </row>
    <row r="20" spans="1:28" s="230" customFormat="1" x14ac:dyDescent="0.25">
      <c r="A20" s="377"/>
      <c r="B20" s="1043" t="s">
        <v>1043</v>
      </c>
      <c r="C20" s="974">
        <f t="shared" si="0"/>
        <v>24683</v>
      </c>
      <c r="D20" s="975">
        <f>'NFI Distribution by 12 Months'!L23</f>
        <v>708</v>
      </c>
      <c r="E20" s="976">
        <f t="shared" si="7"/>
        <v>2.8683709435643967E-2</v>
      </c>
      <c r="F20" s="975">
        <f t="shared" si="2"/>
        <v>23975</v>
      </c>
      <c r="G20" s="1020">
        <f t="shared" si="3"/>
        <v>0.97131629056435609</v>
      </c>
      <c r="H20" s="977">
        <f>'NFI Distribution by 12 Months'!C125</f>
        <v>126383</v>
      </c>
      <c r="I20" s="978">
        <f>SUMIFS(NFI_Individual,NFI_Solar_Lantern_Track,"&lt;&gt;0" )</f>
        <v>2148</v>
      </c>
      <c r="J20" s="979">
        <f t="shared" si="4"/>
        <v>1.6995956734687418E-2</v>
      </c>
      <c r="K20" s="980">
        <f t="shared" si="5"/>
        <v>124235</v>
      </c>
      <c r="L20" s="1044">
        <f t="shared" si="6"/>
        <v>0.98300404326531254</v>
      </c>
      <c r="N20" s="839"/>
      <c r="O20" s="373"/>
      <c r="P20" s="324"/>
      <c r="Q20" s="324"/>
      <c r="R20" s="324"/>
      <c r="S20" s="324"/>
    </row>
    <row r="21" spans="1:28" s="230" customFormat="1" x14ac:dyDescent="0.25">
      <c r="A21" s="377"/>
      <c r="B21" s="1043" t="s">
        <v>193</v>
      </c>
      <c r="C21" s="974">
        <f t="shared" si="0"/>
        <v>24683</v>
      </c>
      <c r="D21" s="975">
        <f>'NFI Distribution by 12 Months'!M23</f>
        <v>28624</v>
      </c>
      <c r="E21" s="976">
        <f t="shared" si="1"/>
        <v>1</v>
      </c>
      <c r="F21" s="975">
        <f>C21-D21</f>
        <v>-3941</v>
      </c>
      <c r="G21" s="1020">
        <f t="shared" si="3"/>
        <v>0</v>
      </c>
      <c r="H21" s="977">
        <f>'NFI Distribution by 12 Months'!C125</f>
        <v>126383</v>
      </c>
      <c r="I21" s="978">
        <f>SUMIFS(NFI_Individual,NFI_Core_Track,"&lt;&gt;0" )</f>
        <v>153362</v>
      </c>
      <c r="J21" s="979">
        <f t="shared" si="4"/>
        <v>1</v>
      </c>
      <c r="K21" s="980">
        <f t="shared" si="5"/>
        <v>-26979</v>
      </c>
      <c r="L21" s="1044">
        <f t="shared" si="6"/>
        <v>0</v>
      </c>
      <c r="N21" s="839"/>
      <c r="O21" s="373"/>
      <c r="P21" s="324"/>
      <c r="Q21" s="324"/>
      <c r="R21" s="324"/>
      <c r="S21" s="324"/>
      <c r="T21" s="324"/>
      <c r="U21" s="324"/>
      <c r="V21" s="324"/>
      <c r="W21" s="324"/>
    </row>
    <row r="22" spans="1:28" s="230" customFormat="1" ht="17.25" customHeight="1" thickBot="1" x14ac:dyDescent="0.3">
      <c r="A22" s="377"/>
      <c r="B22" s="1049" t="s">
        <v>1146</v>
      </c>
      <c r="C22" s="1036">
        <f t="shared" si="0"/>
        <v>24683</v>
      </c>
      <c r="D22" s="982">
        <f>'NFI Distribution by 12 Months'!N23</f>
        <v>264</v>
      </c>
      <c r="E22" s="1037">
        <f t="shared" si="1"/>
        <v>1.0695620467528259E-2</v>
      </c>
      <c r="F22" s="982">
        <f>C22-D22</f>
        <v>24419</v>
      </c>
      <c r="G22" s="1038">
        <f t="shared" si="3"/>
        <v>0.98930437953247174</v>
      </c>
      <c r="H22" s="1039">
        <f>'NFI Distribution by 12 Months'!C125</f>
        <v>126383</v>
      </c>
      <c r="I22" s="1040">
        <f>SUMIFS(NFI_Individual,Rope_Track_tt,"&gt;=1" )</f>
        <v>1514</v>
      </c>
      <c r="J22" s="1041">
        <f t="shared" si="4"/>
        <v>1.1979459262717295E-2</v>
      </c>
      <c r="K22" s="1042">
        <f t="shared" si="5"/>
        <v>124869</v>
      </c>
      <c r="L22" s="1050">
        <f t="shared" si="6"/>
        <v>0.98802054073728274</v>
      </c>
      <c r="N22" s="839"/>
      <c r="O22" s="373"/>
      <c r="P22" s="324"/>
      <c r="Q22" s="324"/>
      <c r="R22" s="324"/>
      <c r="S22" s="324"/>
      <c r="T22" s="324"/>
      <c r="U22" s="324"/>
      <c r="V22" s="324"/>
      <c r="W22" s="324"/>
    </row>
    <row r="23" spans="1:28" s="645" customFormat="1" ht="52.5" customHeight="1" x14ac:dyDescent="0.25">
      <c r="A23" s="48"/>
      <c r="B23" s="1068"/>
      <c r="C23" s="1068"/>
      <c r="D23" s="1068"/>
      <c r="E23" s="1068"/>
      <c r="F23" s="1068"/>
      <c r="G23" s="1068"/>
      <c r="H23" s="1068"/>
      <c r="I23" s="1068"/>
      <c r="J23" s="1068"/>
      <c r="K23" s="1068"/>
      <c r="L23" s="1068"/>
      <c r="M23" s="38"/>
      <c r="N23" s="38"/>
      <c r="O23" s="366"/>
      <c r="P23" s="37"/>
      <c r="Q23" s="37"/>
      <c r="R23" s="37"/>
      <c r="S23" s="37"/>
      <c r="T23" s="37"/>
      <c r="U23" s="37"/>
      <c r="V23" s="37"/>
      <c r="W23" s="37"/>
    </row>
    <row r="24" spans="1:28" x14ac:dyDescent="0.25">
      <c r="A24" s="48"/>
      <c r="B24" s="38"/>
      <c r="C24" s="38"/>
      <c r="D24" s="38"/>
      <c r="E24" s="38"/>
      <c r="F24" s="38"/>
      <c r="G24" s="38"/>
      <c r="H24" s="38"/>
      <c r="I24" s="38"/>
      <c r="J24" s="837"/>
      <c r="K24" s="38"/>
      <c r="L24" s="38"/>
      <c r="M24" s="38"/>
      <c r="N24" s="38"/>
      <c r="O24" s="366"/>
    </row>
    <row r="25" spans="1:28" x14ac:dyDescent="0.25">
      <c r="A25" s="48"/>
      <c r="B25" s="38"/>
      <c r="C25" s="38"/>
      <c r="D25" s="38"/>
      <c r="E25" s="38"/>
      <c r="F25" s="38"/>
      <c r="G25" s="38"/>
      <c r="H25" s="38"/>
      <c r="I25" s="38"/>
      <c r="J25" s="38"/>
      <c r="K25" s="38"/>
      <c r="L25" s="38"/>
      <c r="M25" s="38"/>
      <c r="N25" s="38"/>
      <c r="O25" s="366"/>
    </row>
    <row r="26" spans="1:28" x14ac:dyDescent="0.25">
      <c r="A26" s="48"/>
      <c r="B26" s="38"/>
      <c r="C26" s="38"/>
      <c r="D26" s="38"/>
      <c r="E26" s="38"/>
      <c r="F26" s="38"/>
      <c r="G26" s="38"/>
      <c r="H26" s="38"/>
      <c r="I26" s="38"/>
      <c r="J26" s="38"/>
      <c r="K26" s="38"/>
      <c r="L26" s="38"/>
      <c r="M26" s="38"/>
      <c r="N26" s="38"/>
      <c r="O26" s="366"/>
    </row>
    <row r="27" spans="1:28" x14ac:dyDescent="0.25">
      <c r="A27" s="48"/>
      <c r="B27" s="38"/>
      <c r="C27" s="38"/>
      <c r="D27" s="38"/>
      <c r="E27" s="38"/>
      <c r="F27" s="38"/>
      <c r="G27" s="38"/>
      <c r="H27" s="38"/>
      <c r="I27" s="38"/>
      <c r="J27" s="38"/>
      <c r="K27" s="38"/>
      <c r="L27" s="38"/>
      <c r="M27" s="38"/>
      <c r="N27" s="38"/>
      <c r="O27" s="366"/>
      <c r="X27" s="78"/>
      <c r="Y27" s="78"/>
      <c r="Z27" s="78"/>
      <c r="AA27" s="78"/>
      <c r="AB27" s="78"/>
    </row>
    <row r="28" spans="1:28" x14ac:dyDescent="0.25">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x14ac:dyDescent="0.25">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x14ac:dyDescent="0.25">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x14ac:dyDescent="0.25">
      <c r="A31" s="48"/>
      <c r="B31" s="38"/>
      <c r="C31" s="38"/>
      <c r="D31" s="38"/>
      <c r="E31" s="38"/>
      <c r="F31" s="38"/>
      <c r="G31" s="38"/>
      <c r="H31" s="38"/>
      <c r="I31" s="38"/>
      <c r="J31" s="38"/>
      <c r="K31" s="38"/>
      <c r="L31" s="38"/>
      <c r="M31" s="38"/>
      <c r="N31" s="38"/>
      <c r="O31" s="366"/>
      <c r="R31" s="324"/>
      <c r="S31" s="649"/>
      <c r="T31" s="324"/>
      <c r="U31" s="324"/>
      <c r="V31" s="324"/>
      <c r="W31" s="324"/>
      <c r="X31" s="230"/>
      <c r="Y31" s="230"/>
      <c r="Z31" s="230"/>
      <c r="AA31" s="230"/>
      <c r="AB31" s="230"/>
    </row>
    <row r="32" spans="1:28" x14ac:dyDescent="0.25">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x14ac:dyDescent="0.25">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x14ac:dyDescent="0.25">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x14ac:dyDescent="0.25">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x14ac:dyDescent="0.25">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x14ac:dyDescent="0.25">
      <c r="A37" s="48"/>
      <c r="B37" s="38"/>
      <c r="C37" s="38"/>
      <c r="D37" s="38"/>
      <c r="E37" s="38"/>
      <c r="F37" s="38"/>
      <c r="G37" s="38"/>
      <c r="H37" s="38"/>
      <c r="I37" s="38"/>
      <c r="J37" s="38"/>
      <c r="K37" s="38"/>
      <c r="L37" s="38"/>
      <c r="M37" s="38"/>
      <c r="N37" s="38"/>
      <c r="O37" s="366"/>
    </row>
    <row r="38" spans="1:28" x14ac:dyDescent="0.25">
      <c r="A38" s="48"/>
      <c r="B38" s="38"/>
      <c r="C38" s="38"/>
      <c r="D38" s="38"/>
      <c r="E38" s="38"/>
      <c r="F38" s="38"/>
      <c r="G38" s="38"/>
      <c r="H38" s="38"/>
      <c r="I38" s="38"/>
      <c r="J38" s="38"/>
      <c r="K38" s="38"/>
      <c r="L38" s="38"/>
      <c r="M38" s="38"/>
      <c r="N38" s="38"/>
      <c r="O38" s="366"/>
    </row>
    <row r="39" spans="1:28" x14ac:dyDescent="0.25">
      <c r="A39" s="48"/>
      <c r="B39" s="38"/>
      <c r="C39" s="38"/>
      <c r="D39" s="38"/>
      <c r="E39" s="38"/>
      <c r="F39" s="38"/>
      <c r="G39" s="38"/>
      <c r="H39" s="38"/>
      <c r="I39" s="38"/>
      <c r="J39" s="38"/>
      <c r="K39" s="38"/>
      <c r="L39" s="38"/>
      <c r="M39" s="38"/>
      <c r="N39" s="38"/>
      <c r="O39" s="366"/>
    </row>
    <row r="40" spans="1:28" x14ac:dyDescent="0.25">
      <c r="A40" s="48"/>
      <c r="B40" s="38"/>
      <c r="C40" s="38"/>
      <c r="D40" s="38"/>
      <c r="E40" s="38"/>
      <c r="F40" s="38"/>
      <c r="G40" s="38"/>
      <c r="H40" s="38"/>
      <c r="I40" s="38"/>
      <c r="J40" s="38"/>
      <c r="K40" s="38"/>
      <c r="L40" s="38"/>
      <c r="M40" s="38"/>
      <c r="N40" s="38"/>
      <c r="O40" s="366"/>
    </row>
    <row r="41" spans="1:28" x14ac:dyDescent="0.25">
      <c r="A41" s="48"/>
      <c r="B41" s="841"/>
      <c r="C41" s="1"/>
      <c r="D41" s="1"/>
      <c r="E41" s="1"/>
      <c r="F41" s="1"/>
      <c r="G41" s="841"/>
      <c r="H41" s="1"/>
      <c r="I41" s="1"/>
      <c r="J41" s="1"/>
      <c r="K41" s="1"/>
      <c r="L41" s="1"/>
      <c r="M41" s="841"/>
      <c r="O41" s="1035"/>
    </row>
    <row r="42" spans="1:28" x14ac:dyDescent="0.25">
      <c r="A42" s="48"/>
      <c r="B42" s="841"/>
      <c r="C42" s="1"/>
      <c r="D42" s="1"/>
      <c r="E42" s="1"/>
      <c r="F42" s="1"/>
      <c r="G42" s="1"/>
      <c r="H42" s="841"/>
      <c r="I42" s="1"/>
      <c r="J42" s="1"/>
      <c r="K42" s="1"/>
      <c r="L42" s="1"/>
      <c r="M42" s="841"/>
      <c r="O42" s="1035"/>
    </row>
    <row r="43" spans="1:28" ht="15.75" thickBot="1" x14ac:dyDescent="0.3">
      <c r="A43" s="218"/>
      <c r="B43" s="1033"/>
      <c r="C43" s="219"/>
      <c r="D43" s="219"/>
      <c r="E43" s="219"/>
      <c r="F43" s="219"/>
      <c r="G43" s="219"/>
      <c r="H43" s="219"/>
      <c r="I43" s="219"/>
      <c r="J43" s="219"/>
      <c r="K43" s="219"/>
      <c r="L43" s="219"/>
      <c r="M43" s="1033"/>
      <c r="N43" s="1033"/>
      <c r="O43" s="1034"/>
    </row>
    <row r="44" spans="1:28" x14ac:dyDescent="0.25">
      <c r="E44" s="78"/>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1"/>
  <sheetViews>
    <sheetView topLeftCell="B1" workbookViewId="0">
      <selection activeCell="H39" sqref="H39"/>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45" t="s">
        <v>604</v>
      </c>
      <c r="G1" s="39" t="s">
        <v>717</v>
      </c>
      <c r="H1" s="645" t="s">
        <v>604</v>
      </c>
    </row>
    <row r="2" spans="1:10" x14ac:dyDescent="0.25">
      <c r="A2" s="39" t="s">
        <v>717</v>
      </c>
      <c r="B2" s="645" t="s">
        <v>604</v>
      </c>
    </row>
    <row r="3" spans="1:10" x14ac:dyDescent="0.25">
      <c r="G3" s="39" t="s">
        <v>9</v>
      </c>
      <c r="H3" s="39" t="s">
        <v>8</v>
      </c>
      <c r="I3" s="39" t="s">
        <v>329</v>
      </c>
      <c r="J3" t="s">
        <v>605</v>
      </c>
    </row>
    <row r="4" spans="1:10" x14ac:dyDescent="0.25">
      <c r="A4" s="39" t="s">
        <v>0</v>
      </c>
      <c r="B4" s="39" t="s">
        <v>9</v>
      </c>
      <c r="C4" t="s">
        <v>603</v>
      </c>
      <c r="G4" s="645" t="s">
        <v>44</v>
      </c>
      <c r="H4" s="645" t="s">
        <v>130</v>
      </c>
      <c r="I4" s="645" t="s">
        <v>935</v>
      </c>
      <c r="J4" s="4">
        <v>24</v>
      </c>
    </row>
    <row r="5" spans="1:10" x14ac:dyDescent="0.25">
      <c r="A5" s="645" t="s">
        <v>561</v>
      </c>
      <c r="B5" s="645" t="s">
        <v>441</v>
      </c>
      <c r="C5" s="4">
        <v>1</v>
      </c>
      <c r="G5" s="645" t="s">
        <v>47</v>
      </c>
      <c r="H5" s="645" t="s">
        <v>133</v>
      </c>
      <c r="I5" s="645" t="s">
        <v>935</v>
      </c>
      <c r="J5" s="4">
        <v>14</v>
      </c>
    </row>
    <row r="6" spans="1:10" x14ac:dyDescent="0.25">
      <c r="A6" s="645" t="s">
        <v>561</v>
      </c>
      <c r="B6" s="645" t="s">
        <v>56</v>
      </c>
      <c r="C6" s="4">
        <v>1</v>
      </c>
      <c r="G6" s="645" t="s">
        <v>54</v>
      </c>
      <c r="H6" s="645" t="s">
        <v>140</v>
      </c>
      <c r="I6" s="645" t="s">
        <v>935</v>
      </c>
      <c r="J6" s="4">
        <v>32</v>
      </c>
    </row>
    <row r="7" spans="1:10" x14ac:dyDescent="0.25">
      <c r="A7" s="645" t="s">
        <v>14</v>
      </c>
      <c r="B7" s="645" t="s">
        <v>44</v>
      </c>
      <c r="C7" s="4">
        <v>1</v>
      </c>
      <c r="G7" s="645" t="s">
        <v>38</v>
      </c>
      <c r="H7" s="645" t="s">
        <v>124</v>
      </c>
      <c r="I7" s="645" t="s">
        <v>331</v>
      </c>
      <c r="J7" s="4">
        <v>1249</v>
      </c>
    </row>
    <row r="8" spans="1:10" x14ac:dyDescent="0.25">
      <c r="A8" s="645" t="s">
        <v>14</v>
      </c>
      <c r="B8" s="645" t="s">
        <v>47</v>
      </c>
      <c r="C8" s="4">
        <v>1</v>
      </c>
      <c r="G8" s="645" t="s">
        <v>46</v>
      </c>
      <c r="H8" s="645" t="s">
        <v>132</v>
      </c>
      <c r="I8" s="645" t="s">
        <v>935</v>
      </c>
      <c r="J8" s="4">
        <v>100</v>
      </c>
    </row>
    <row r="9" spans="1:10" x14ac:dyDescent="0.25">
      <c r="A9" s="645" t="s">
        <v>14</v>
      </c>
      <c r="B9" s="645" t="s">
        <v>46</v>
      </c>
      <c r="C9" s="4">
        <v>1</v>
      </c>
      <c r="G9" s="645" t="s">
        <v>108</v>
      </c>
      <c r="H9" s="645" t="s">
        <v>189</v>
      </c>
      <c r="I9" s="645" t="s">
        <v>332</v>
      </c>
      <c r="J9" s="4"/>
    </row>
    <row r="10" spans="1:10" x14ac:dyDescent="0.25">
      <c r="A10" s="645" t="s">
        <v>14</v>
      </c>
      <c r="B10" s="645" t="s">
        <v>49</v>
      </c>
      <c r="C10" s="4">
        <v>1</v>
      </c>
      <c r="G10" s="645" t="s">
        <v>88</v>
      </c>
      <c r="H10" s="645" t="s">
        <v>174</v>
      </c>
      <c r="I10" s="645" t="s">
        <v>332</v>
      </c>
      <c r="J10" s="4"/>
    </row>
    <row r="11" spans="1:10" x14ac:dyDescent="0.25">
      <c r="A11" s="645" t="s">
        <v>14</v>
      </c>
      <c r="B11" s="645" t="s">
        <v>48</v>
      </c>
      <c r="C11" s="4">
        <v>1</v>
      </c>
      <c r="G11" s="645" t="s">
        <v>28</v>
      </c>
      <c r="H11" s="645" t="s">
        <v>114</v>
      </c>
      <c r="I11" s="645" t="s">
        <v>935</v>
      </c>
      <c r="J11" s="4">
        <v>87</v>
      </c>
    </row>
    <row r="12" spans="1:10" x14ac:dyDescent="0.25">
      <c r="A12" s="645" t="s">
        <v>14</v>
      </c>
      <c r="B12" s="645" t="s">
        <v>52</v>
      </c>
      <c r="C12" s="4">
        <v>1</v>
      </c>
      <c r="G12" s="645" t="s">
        <v>37</v>
      </c>
      <c r="H12" s="645" t="s">
        <v>123</v>
      </c>
      <c r="I12" s="645" t="s">
        <v>934</v>
      </c>
      <c r="J12" s="4">
        <v>21</v>
      </c>
    </row>
    <row r="13" spans="1:10" x14ac:dyDescent="0.25">
      <c r="A13" s="645" t="s">
        <v>14</v>
      </c>
      <c r="B13" s="645" t="s">
        <v>42</v>
      </c>
      <c r="C13" s="4">
        <v>1</v>
      </c>
      <c r="G13" s="645" t="s">
        <v>59</v>
      </c>
      <c r="H13" s="645" t="s">
        <v>145</v>
      </c>
      <c r="I13" s="645" t="s">
        <v>331</v>
      </c>
      <c r="J13" s="4">
        <v>396</v>
      </c>
    </row>
    <row r="14" spans="1:10" x14ac:dyDescent="0.25">
      <c r="A14" s="645" t="s">
        <v>14</v>
      </c>
      <c r="B14" s="645" t="s">
        <v>45</v>
      </c>
      <c r="C14" s="4">
        <v>1</v>
      </c>
      <c r="G14" s="645" t="s">
        <v>98</v>
      </c>
      <c r="H14" s="645" t="s">
        <v>184</v>
      </c>
      <c r="I14" s="645" t="s">
        <v>332</v>
      </c>
      <c r="J14" s="4"/>
    </row>
    <row r="15" spans="1:10" x14ac:dyDescent="0.25">
      <c r="A15" s="645" t="s">
        <v>14</v>
      </c>
      <c r="B15" s="645" t="s">
        <v>51</v>
      </c>
      <c r="C15" s="4">
        <v>1</v>
      </c>
      <c r="G15" s="645" t="s">
        <v>60</v>
      </c>
      <c r="H15" s="645" t="s">
        <v>146</v>
      </c>
      <c r="I15" s="645" t="s">
        <v>332</v>
      </c>
      <c r="J15" s="4"/>
    </row>
    <row r="16" spans="1:10" x14ac:dyDescent="0.25">
      <c r="A16" s="645" t="s">
        <v>14</v>
      </c>
      <c r="B16" s="645" t="s">
        <v>43</v>
      </c>
      <c r="C16" s="4">
        <v>1</v>
      </c>
      <c r="G16" s="645" t="s">
        <v>509</v>
      </c>
      <c r="H16" s="645" t="s">
        <v>510</v>
      </c>
      <c r="I16" s="645" t="s">
        <v>331</v>
      </c>
      <c r="J16" s="4">
        <v>41</v>
      </c>
    </row>
    <row r="17" spans="1:10" x14ac:dyDescent="0.25">
      <c r="A17" s="645" t="s">
        <v>14</v>
      </c>
      <c r="B17" s="645" t="s">
        <v>50</v>
      </c>
      <c r="C17" s="4">
        <v>1</v>
      </c>
      <c r="G17" s="645" t="s">
        <v>581</v>
      </c>
      <c r="H17" s="645" t="s">
        <v>583</v>
      </c>
      <c r="I17" s="645" t="s">
        <v>331</v>
      </c>
      <c r="J17" s="4">
        <v>1013</v>
      </c>
    </row>
    <row r="18" spans="1:10" x14ac:dyDescent="0.25">
      <c r="A18" s="645" t="s">
        <v>18</v>
      </c>
      <c r="B18" s="645" t="s">
        <v>108</v>
      </c>
      <c r="C18" s="4">
        <v>1</v>
      </c>
      <c r="G18" s="645" t="s">
        <v>582</v>
      </c>
      <c r="H18" s="645" t="s">
        <v>584</v>
      </c>
      <c r="I18" s="645" t="s">
        <v>331</v>
      </c>
      <c r="J18" s="4">
        <v>1334</v>
      </c>
    </row>
    <row r="19" spans="1:10" x14ac:dyDescent="0.25">
      <c r="A19" s="645" t="s">
        <v>18</v>
      </c>
      <c r="B19" s="645" t="s">
        <v>98</v>
      </c>
      <c r="C19" s="4">
        <v>1</v>
      </c>
      <c r="G19" s="645" t="s">
        <v>566</v>
      </c>
      <c r="H19" s="645" t="s">
        <v>570</v>
      </c>
      <c r="I19" s="645" t="s">
        <v>332</v>
      </c>
      <c r="J19" s="4"/>
    </row>
    <row r="20" spans="1:10" x14ac:dyDescent="0.25">
      <c r="A20" s="645" t="s">
        <v>18</v>
      </c>
      <c r="B20" s="645" t="s">
        <v>566</v>
      </c>
      <c r="C20" s="4">
        <v>1</v>
      </c>
      <c r="G20" s="645" t="s">
        <v>71</v>
      </c>
      <c r="H20" s="645" t="s">
        <v>157</v>
      </c>
      <c r="I20" s="645" t="s">
        <v>332</v>
      </c>
      <c r="J20" s="4"/>
    </row>
    <row r="21" spans="1:10" x14ac:dyDescent="0.25">
      <c r="A21" s="645" t="s">
        <v>18</v>
      </c>
      <c r="B21" s="645" t="s">
        <v>100</v>
      </c>
      <c r="C21" s="4">
        <v>1</v>
      </c>
      <c r="G21" s="645" t="s">
        <v>72</v>
      </c>
      <c r="H21" s="645" t="s">
        <v>158</v>
      </c>
      <c r="I21" s="645" t="s">
        <v>332</v>
      </c>
      <c r="J21" s="4"/>
    </row>
    <row r="22" spans="1:10" x14ac:dyDescent="0.25">
      <c r="A22" s="645" t="s">
        <v>18</v>
      </c>
      <c r="B22" s="645" t="s">
        <v>99</v>
      </c>
      <c r="C22" s="4">
        <v>1</v>
      </c>
      <c r="G22" s="645" t="s">
        <v>78</v>
      </c>
      <c r="H22" s="645" t="s">
        <v>164</v>
      </c>
      <c r="I22" s="645" t="s">
        <v>332</v>
      </c>
      <c r="J22" s="4"/>
    </row>
    <row r="23" spans="1:10" x14ac:dyDescent="0.25">
      <c r="A23" s="645" t="s">
        <v>18</v>
      </c>
      <c r="B23" s="645" t="s">
        <v>97</v>
      </c>
      <c r="C23" s="4">
        <v>1</v>
      </c>
      <c r="G23" s="645" t="s">
        <v>79</v>
      </c>
      <c r="H23" s="645" t="s">
        <v>165</v>
      </c>
      <c r="I23" s="645" t="s">
        <v>332</v>
      </c>
      <c r="J23" s="4"/>
    </row>
    <row r="24" spans="1:10" x14ac:dyDescent="0.25">
      <c r="A24" s="645" t="s">
        <v>18</v>
      </c>
      <c r="B24" s="645" t="s">
        <v>106</v>
      </c>
      <c r="C24" s="4">
        <v>1</v>
      </c>
      <c r="G24" s="645" t="s">
        <v>75</v>
      </c>
      <c r="H24" s="645" t="s">
        <v>161</v>
      </c>
      <c r="I24" s="645" t="s">
        <v>332</v>
      </c>
      <c r="J24" s="4"/>
    </row>
    <row r="25" spans="1:10" x14ac:dyDescent="0.25">
      <c r="A25" s="645" t="s">
        <v>18</v>
      </c>
      <c r="B25" s="645" t="s">
        <v>95</v>
      </c>
      <c r="C25" s="4">
        <v>1</v>
      </c>
      <c r="G25" s="645" t="s">
        <v>61</v>
      </c>
      <c r="H25" s="645" t="s">
        <v>147</v>
      </c>
      <c r="I25" s="645" t="s">
        <v>331</v>
      </c>
      <c r="J25" s="4">
        <v>1983</v>
      </c>
    </row>
    <row r="26" spans="1:10" x14ac:dyDescent="0.25">
      <c r="A26" s="645" t="s">
        <v>18</v>
      </c>
      <c r="B26" s="645" t="s">
        <v>101</v>
      </c>
      <c r="C26" s="4">
        <v>1</v>
      </c>
      <c r="G26" s="645" t="s">
        <v>499</v>
      </c>
      <c r="H26" s="645" t="s">
        <v>500</v>
      </c>
      <c r="I26" s="645" t="s">
        <v>331</v>
      </c>
      <c r="J26" s="4">
        <v>518</v>
      </c>
    </row>
    <row r="27" spans="1:10" x14ac:dyDescent="0.25">
      <c r="A27" s="645" t="s">
        <v>18</v>
      </c>
      <c r="B27" s="645" t="s">
        <v>96</v>
      </c>
      <c r="C27" s="4">
        <v>1</v>
      </c>
      <c r="G27" s="645" t="s">
        <v>77</v>
      </c>
      <c r="H27" s="645" t="s">
        <v>163</v>
      </c>
      <c r="I27" s="645" t="s">
        <v>332</v>
      </c>
      <c r="J27" s="4"/>
    </row>
    <row r="28" spans="1:10" x14ac:dyDescent="0.25">
      <c r="A28" s="645" t="s">
        <v>18</v>
      </c>
      <c r="B28" s="645" t="s">
        <v>567</v>
      </c>
      <c r="C28" s="4">
        <v>1</v>
      </c>
      <c r="G28" s="645" t="s">
        <v>49</v>
      </c>
      <c r="H28" s="645" t="s">
        <v>135</v>
      </c>
      <c r="I28" s="645" t="s">
        <v>935</v>
      </c>
      <c r="J28" s="4">
        <v>116</v>
      </c>
    </row>
    <row r="29" spans="1:10" x14ac:dyDescent="0.25">
      <c r="A29" s="645" t="s">
        <v>18</v>
      </c>
      <c r="B29" s="645" t="s">
        <v>568</v>
      </c>
      <c r="C29" s="4">
        <v>1</v>
      </c>
      <c r="G29" s="645" t="s">
        <v>92</v>
      </c>
      <c r="H29" s="645" t="s">
        <v>178</v>
      </c>
      <c r="I29" s="645" t="s">
        <v>332</v>
      </c>
      <c r="J29" s="4"/>
    </row>
    <row r="30" spans="1:10" x14ac:dyDescent="0.25">
      <c r="A30" s="645" t="s">
        <v>11</v>
      </c>
      <c r="B30" s="645" t="s">
        <v>28</v>
      </c>
      <c r="C30" s="4">
        <v>1</v>
      </c>
      <c r="G30" s="645" t="s">
        <v>80</v>
      </c>
      <c r="H30" s="645" t="s">
        <v>166</v>
      </c>
      <c r="I30" s="645" t="s">
        <v>332</v>
      </c>
      <c r="J30" s="4"/>
    </row>
    <row r="31" spans="1:10" x14ac:dyDescent="0.25">
      <c r="A31" s="645" t="s">
        <v>11</v>
      </c>
      <c r="B31" s="645" t="s">
        <v>26</v>
      </c>
      <c r="C31" s="4">
        <v>1</v>
      </c>
      <c r="G31" s="645" t="s">
        <v>507</v>
      </c>
      <c r="H31" s="645" t="s">
        <v>508</v>
      </c>
      <c r="I31" s="645" t="s">
        <v>332</v>
      </c>
      <c r="J31" s="4"/>
    </row>
    <row r="32" spans="1:10" x14ac:dyDescent="0.25">
      <c r="A32" s="645" t="s">
        <v>11</v>
      </c>
      <c r="B32" s="645" t="s">
        <v>23</v>
      </c>
      <c r="C32" s="4">
        <v>1</v>
      </c>
      <c r="G32" s="645" t="s">
        <v>69</v>
      </c>
      <c r="H32" s="645" t="s">
        <v>155</v>
      </c>
      <c r="I32" s="645" t="s">
        <v>332</v>
      </c>
      <c r="J32" s="4"/>
    </row>
    <row r="33" spans="1:10" x14ac:dyDescent="0.25">
      <c r="A33" s="645" t="s">
        <v>11</v>
      </c>
      <c r="B33" s="645" t="s">
        <v>30</v>
      </c>
      <c r="C33" s="4">
        <v>1</v>
      </c>
      <c r="G33" s="645" t="s">
        <v>48</v>
      </c>
      <c r="H33" s="645" t="s">
        <v>134</v>
      </c>
      <c r="I33" s="645" t="s">
        <v>935</v>
      </c>
      <c r="J33" s="4">
        <v>236</v>
      </c>
    </row>
    <row r="34" spans="1:10" x14ac:dyDescent="0.25">
      <c r="A34" s="645" t="s">
        <v>11</v>
      </c>
      <c r="B34" s="645" t="s">
        <v>25</v>
      </c>
      <c r="C34" s="4">
        <v>1</v>
      </c>
      <c r="G34" s="645" t="s">
        <v>441</v>
      </c>
      <c r="H34" s="645" t="s">
        <v>142</v>
      </c>
      <c r="I34" s="645" t="s">
        <v>934</v>
      </c>
      <c r="J34" s="4">
        <v>65</v>
      </c>
    </row>
    <row r="35" spans="1:10" x14ac:dyDescent="0.25">
      <c r="A35" s="645" t="s">
        <v>11</v>
      </c>
      <c r="B35" s="645" t="s">
        <v>513</v>
      </c>
      <c r="C35" s="4">
        <v>1</v>
      </c>
      <c r="G35" s="645" t="s">
        <v>35</v>
      </c>
      <c r="H35" s="645" t="s">
        <v>121</v>
      </c>
      <c r="I35" s="645" t="s">
        <v>934</v>
      </c>
      <c r="J35" s="4">
        <v>40</v>
      </c>
    </row>
    <row r="36" spans="1:10" x14ac:dyDescent="0.25">
      <c r="A36" s="645" t="s">
        <v>11</v>
      </c>
      <c r="B36" s="645" t="s">
        <v>24</v>
      </c>
      <c r="C36" s="4">
        <v>1</v>
      </c>
      <c r="G36" s="645" t="s">
        <v>100</v>
      </c>
      <c r="H36" s="645" t="s">
        <v>186</v>
      </c>
      <c r="I36" s="645" t="s">
        <v>332</v>
      </c>
      <c r="J36" s="4"/>
    </row>
    <row r="37" spans="1:10" x14ac:dyDescent="0.25">
      <c r="A37" s="645" t="s">
        <v>11</v>
      </c>
      <c r="B37" s="645" t="s">
        <v>27</v>
      </c>
      <c r="C37" s="4">
        <v>1</v>
      </c>
      <c r="G37" s="645" t="s">
        <v>90</v>
      </c>
      <c r="H37" s="645" t="s">
        <v>176</v>
      </c>
      <c r="I37" s="645" t="s">
        <v>332</v>
      </c>
      <c r="J37" s="4"/>
    </row>
    <row r="38" spans="1:10" x14ac:dyDescent="0.25">
      <c r="A38" s="645" t="s">
        <v>11</v>
      </c>
      <c r="B38" s="645" t="s">
        <v>29</v>
      </c>
      <c r="C38" s="4">
        <v>1</v>
      </c>
      <c r="G38" s="645" t="s">
        <v>1054</v>
      </c>
      <c r="H38" s="645" t="s">
        <v>148</v>
      </c>
      <c r="I38" s="645" t="s">
        <v>331</v>
      </c>
      <c r="J38" s="4">
        <v>400</v>
      </c>
    </row>
    <row r="39" spans="1:10" x14ac:dyDescent="0.25">
      <c r="A39" s="645" t="s">
        <v>932</v>
      </c>
      <c r="B39" s="645" t="s">
        <v>33</v>
      </c>
      <c r="C39" s="4">
        <v>1</v>
      </c>
      <c r="G39" s="645" t="s">
        <v>1055</v>
      </c>
      <c r="H39" s="645" t="s">
        <v>148</v>
      </c>
      <c r="I39" s="645" t="s">
        <v>331</v>
      </c>
      <c r="J39" s="4">
        <v>399</v>
      </c>
    </row>
    <row r="40" spans="1:10" x14ac:dyDescent="0.25">
      <c r="A40" s="645" t="s">
        <v>932</v>
      </c>
      <c r="B40" s="645" t="s">
        <v>31</v>
      </c>
      <c r="C40" s="4">
        <v>1</v>
      </c>
      <c r="G40" s="645" t="s">
        <v>52</v>
      </c>
      <c r="H40" s="645" t="s">
        <v>138</v>
      </c>
      <c r="I40" s="645" t="s">
        <v>934</v>
      </c>
      <c r="J40" s="4">
        <v>97</v>
      </c>
    </row>
    <row r="41" spans="1:10" x14ac:dyDescent="0.25">
      <c r="A41" s="645" t="s">
        <v>932</v>
      </c>
      <c r="B41" s="645" t="s">
        <v>34</v>
      </c>
      <c r="C41" s="4">
        <v>1</v>
      </c>
      <c r="G41" s="645" t="s">
        <v>99</v>
      </c>
      <c r="H41" s="645" t="s">
        <v>185</v>
      </c>
      <c r="I41" s="645" t="s">
        <v>332</v>
      </c>
      <c r="J41" s="4"/>
    </row>
    <row r="42" spans="1:10" x14ac:dyDescent="0.25">
      <c r="A42" s="645" t="s">
        <v>932</v>
      </c>
      <c r="B42" s="645" t="s">
        <v>578</v>
      </c>
      <c r="C42" s="4">
        <v>1</v>
      </c>
      <c r="G42" s="645" t="s">
        <v>97</v>
      </c>
      <c r="H42" s="645" t="s">
        <v>183</v>
      </c>
      <c r="I42" s="645" t="s">
        <v>332</v>
      </c>
      <c r="J42" s="4"/>
    </row>
    <row r="43" spans="1:10" x14ac:dyDescent="0.25">
      <c r="A43" s="645" t="s">
        <v>932</v>
      </c>
      <c r="B43" s="645" t="s">
        <v>32</v>
      </c>
      <c r="C43" s="4">
        <v>1</v>
      </c>
      <c r="G43" s="645" t="s">
        <v>56</v>
      </c>
      <c r="H43" s="645" t="s">
        <v>141</v>
      </c>
      <c r="I43" s="645" t="s">
        <v>331</v>
      </c>
      <c r="J43" s="4">
        <v>415</v>
      </c>
    </row>
    <row r="44" spans="1:10" x14ac:dyDescent="0.25">
      <c r="A44" s="645" t="s">
        <v>814</v>
      </c>
      <c r="B44" s="645" t="s">
        <v>35</v>
      </c>
      <c r="C44" s="4">
        <v>1</v>
      </c>
      <c r="G44" s="645" t="s">
        <v>40</v>
      </c>
      <c r="H44" s="645" t="s">
        <v>126</v>
      </c>
      <c r="I44" s="645" t="s">
        <v>331</v>
      </c>
      <c r="J44" s="4">
        <v>1343</v>
      </c>
    </row>
    <row r="45" spans="1:10" x14ac:dyDescent="0.25">
      <c r="A45" s="645" t="s">
        <v>814</v>
      </c>
      <c r="B45" s="645" t="s">
        <v>36</v>
      </c>
      <c r="C45" s="4">
        <v>1</v>
      </c>
      <c r="G45" s="645" t="s">
        <v>106</v>
      </c>
      <c r="H45" s="645" t="s">
        <v>188</v>
      </c>
      <c r="I45" s="645" t="s">
        <v>332</v>
      </c>
      <c r="J45" s="4"/>
    </row>
    <row r="46" spans="1:10" x14ac:dyDescent="0.25">
      <c r="A46" s="645" t="s">
        <v>13</v>
      </c>
      <c r="B46" s="645" t="s">
        <v>38</v>
      </c>
      <c r="C46" s="4">
        <v>1</v>
      </c>
      <c r="G46" s="645" t="s">
        <v>81</v>
      </c>
      <c r="H46" s="645" t="s">
        <v>167</v>
      </c>
      <c r="I46" s="645" t="s">
        <v>332</v>
      </c>
      <c r="J46" s="4"/>
    </row>
    <row r="47" spans="1:10" x14ac:dyDescent="0.25">
      <c r="A47" s="645" t="s">
        <v>13</v>
      </c>
      <c r="B47" s="645" t="s">
        <v>37</v>
      </c>
      <c r="C47" s="4">
        <v>1</v>
      </c>
      <c r="G47" s="645" t="s">
        <v>42</v>
      </c>
      <c r="H47" s="645" t="s">
        <v>128</v>
      </c>
      <c r="I47" s="645" t="s">
        <v>935</v>
      </c>
      <c r="J47" s="4">
        <v>18</v>
      </c>
    </row>
    <row r="48" spans="1:10" x14ac:dyDescent="0.25">
      <c r="A48" s="645" t="s">
        <v>13</v>
      </c>
      <c r="B48" s="645" t="s">
        <v>40</v>
      </c>
      <c r="C48" s="4">
        <v>1</v>
      </c>
      <c r="G48" s="645" t="s">
        <v>73</v>
      </c>
      <c r="H48" s="645" t="s">
        <v>159</v>
      </c>
      <c r="I48" s="645" t="s">
        <v>332</v>
      </c>
      <c r="J48" s="4"/>
    </row>
    <row r="49" spans="1:10" x14ac:dyDescent="0.25">
      <c r="A49" s="645" t="s">
        <v>13</v>
      </c>
      <c r="B49" s="645" t="s">
        <v>981</v>
      </c>
      <c r="C49" s="4">
        <v>1</v>
      </c>
      <c r="G49" s="645" t="s">
        <v>91</v>
      </c>
      <c r="H49" s="645" t="s">
        <v>177</v>
      </c>
      <c r="I49" s="645" t="s">
        <v>332</v>
      </c>
      <c r="J49" s="4"/>
    </row>
    <row r="50" spans="1:10" x14ac:dyDescent="0.25">
      <c r="A50" s="645" t="s">
        <v>13</v>
      </c>
      <c r="B50" s="645" t="s">
        <v>982</v>
      </c>
      <c r="C50" s="4">
        <v>1</v>
      </c>
      <c r="G50" s="645" t="s">
        <v>580</v>
      </c>
      <c r="H50" s="645" t="s">
        <v>268</v>
      </c>
      <c r="I50" s="645" t="s">
        <v>331</v>
      </c>
      <c r="J50" s="4">
        <v>622</v>
      </c>
    </row>
    <row r="51" spans="1:10" x14ac:dyDescent="0.25">
      <c r="A51" s="645" t="s">
        <v>13</v>
      </c>
      <c r="B51" s="645" t="s">
        <v>41</v>
      </c>
      <c r="C51" s="4">
        <v>1</v>
      </c>
      <c r="G51" s="645" t="s">
        <v>95</v>
      </c>
      <c r="H51" s="645" t="s">
        <v>181</v>
      </c>
      <c r="I51" s="645" t="s">
        <v>332</v>
      </c>
      <c r="J51" s="4"/>
    </row>
    <row r="52" spans="1:10" x14ac:dyDescent="0.25">
      <c r="A52" s="645" t="s">
        <v>13</v>
      </c>
      <c r="B52" s="645" t="s">
        <v>498</v>
      </c>
      <c r="C52" s="4">
        <v>1</v>
      </c>
      <c r="G52" s="645" t="s">
        <v>74</v>
      </c>
      <c r="H52" s="645" t="s">
        <v>160</v>
      </c>
      <c r="I52" s="645" t="s">
        <v>332</v>
      </c>
      <c r="J52" s="4"/>
    </row>
    <row r="53" spans="1:10" x14ac:dyDescent="0.25">
      <c r="A53" s="645" t="s">
        <v>16</v>
      </c>
      <c r="B53" s="645" t="s">
        <v>58</v>
      </c>
      <c r="C53" s="4">
        <v>1</v>
      </c>
      <c r="H53" s="645" t="s">
        <v>269</v>
      </c>
      <c r="I53" s="645" t="s">
        <v>934</v>
      </c>
      <c r="J53" s="4">
        <v>151</v>
      </c>
    </row>
    <row r="54" spans="1:10" x14ac:dyDescent="0.25">
      <c r="A54" s="645" t="s">
        <v>16</v>
      </c>
      <c r="B54" s="645" t="s">
        <v>57</v>
      </c>
      <c r="C54" s="4">
        <v>1</v>
      </c>
      <c r="G54" s="645" t="s">
        <v>33</v>
      </c>
      <c r="H54" s="645" t="s">
        <v>119</v>
      </c>
      <c r="I54" s="645" t="s">
        <v>332</v>
      </c>
      <c r="J54" s="4"/>
    </row>
    <row r="55" spans="1:10" x14ac:dyDescent="0.25">
      <c r="A55" s="645" t="s">
        <v>15</v>
      </c>
      <c r="B55" s="645" t="s">
        <v>54</v>
      </c>
      <c r="C55" s="4">
        <v>1</v>
      </c>
      <c r="G55" s="645" t="s">
        <v>82</v>
      </c>
      <c r="H55" s="645" t="s">
        <v>168</v>
      </c>
      <c r="I55" s="645" t="s">
        <v>332</v>
      </c>
      <c r="J55" s="4"/>
    </row>
    <row r="56" spans="1:10" x14ac:dyDescent="0.25">
      <c r="A56" s="645" t="s">
        <v>15</v>
      </c>
      <c r="B56" s="645" t="s">
        <v>53</v>
      </c>
      <c r="C56" s="4">
        <v>1</v>
      </c>
      <c r="G56" s="645" t="s">
        <v>26</v>
      </c>
      <c r="H56" s="645" t="s">
        <v>112</v>
      </c>
      <c r="I56" s="645" t="s">
        <v>332</v>
      </c>
      <c r="J56" s="4"/>
    </row>
    <row r="57" spans="1:10" x14ac:dyDescent="0.25">
      <c r="A57" s="645" t="s">
        <v>17</v>
      </c>
      <c r="B57" s="645" t="s">
        <v>88</v>
      </c>
      <c r="C57" s="4">
        <v>1</v>
      </c>
      <c r="G57" s="645" t="s">
        <v>981</v>
      </c>
      <c r="H57" s="645" t="s">
        <v>125</v>
      </c>
      <c r="I57" s="645" t="s">
        <v>331</v>
      </c>
      <c r="J57" s="4">
        <v>1010</v>
      </c>
    </row>
    <row r="58" spans="1:10" x14ac:dyDescent="0.25">
      <c r="A58" s="645" t="s">
        <v>17</v>
      </c>
      <c r="B58" s="645" t="s">
        <v>59</v>
      </c>
      <c r="C58" s="4">
        <v>1</v>
      </c>
      <c r="G58" s="645" t="s">
        <v>982</v>
      </c>
      <c r="H58" s="645" t="s">
        <v>125</v>
      </c>
      <c r="I58" s="645" t="s">
        <v>331</v>
      </c>
      <c r="J58" s="4">
        <v>905</v>
      </c>
    </row>
    <row r="59" spans="1:10" x14ac:dyDescent="0.25">
      <c r="A59" s="645" t="s">
        <v>17</v>
      </c>
      <c r="B59" s="645" t="s">
        <v>60</v>
      </c>
      <c r="C59" s="4">
        <v>1</v>
      </c>
      <c r="G59" s="645" t="s">
        <v>45</v>
      </c>
      <c r="H59" s="645" t="s">
        <v>131</v>
      </c>
      <c r="I59" s="645" t="s">
        <v>331</v>
      </c>
      <c r="J59" s="4">
        <v>85</v>
      </c>
    </row>
    <row r="60" spans="1:10" x14ac:dyDescent="0.25">
      <c r="A60" s="645" t="s">
        <v>17</v>
      </c>
      <c r="B60" s="645" t="s">
        <v>509</v>
      </c>
      <c r="C60" s="4">
        <v>1</v>
      </c>
      <c r="G60" s="645" t="s">
        <v>53</v>
      </c>
      <c r="H60" s="645" t="s">
        <v>139</v>
      </c>
      <c r="I60" s="645" t="s">
        <v>935</v>
      </c>
      <c r="J60" s="4">
        <v>56</v>
      </c>
    </row>
    <row r="61" spans="1:10" x14ac:dyDescent="0.25">
      <c r="A61" s="645" t="s">
        <v>17</v>
      </c>
      <c r="B61" s="645" t="s">
        <v>581</v>
      </c>
      <c r="C61" s="4">
        <v>1</v>
      </c>
      <c r="G61" s="645" t="s">
        <v>101</v>
      </c>
      <c r="H61" s="645" t="s">
        <v>187</v>
      </c>
      <c r="I61" s="645" t="s">
        <v>935</v>
      </c>
      <c r="J61" s="4">
        <v>17</v>
      </c>
    </row>
    <row r="62" spans="1:10" x14ac:dyDescent="0.25">
      <c r="A62" s="645" t="s">
        <v>17</v>
      </c>
      <c r="B62" s="645" t="s">
        <v>582</v>
      </c>
      <c r="C62" s="4">
        <v>1</v>
      </c>
      <c r="G62" s="645" t="s">
        <v>585</v>
      </c>
      <c r="H62" s="645" t="s">
        <v>502</v>
      </c>
      <c r="I62" s="645" t="s">
        <v>331</v>
      </c>
      <c r="J62" s="4">
        <v>734</v>
      </c>
    </row>
    <row r="63" spans="1:10" x14ac:dyDescent="0.25">
      <c r="A63" s="645" t="s">
        <v>17</v>
      </c>
      <c r="B63" s="645" t="s">
        <v>71</v>
      </c>
      <c r="C63" s="4">
        <v>1</v>
      </c>
      <c r="G63" s="645" t="s">
        <v>586</v>
      </c>
      <c r="H63" s="645" t="s">
        <v>588</v>
      </c>
      <c r="I63" s="645" t="s">
        <v>331</v>
      </c>
      <c r="J63" s="4">
        <v>2668</v>
      </c>
    </row>
    <row r="64" spans="1:10" x14ac:dyDescent="0.25">
      <c r="A64" s="645" t="s">
        <v>17</v>
      </c>
      <c r="B64" s="645" t="s">
        <v>72</v>
      </c>
      <c r="C64" s="4">
        <v>1</v>
      </c>
      <c r="G64" s="645" t="s">
        <v>587</v>
      </c>
      <c r="H64" s="645" t="s">
        <v>589</v>
      </c>
      <c r="I64" s="645" t="s">
        <v>331</v>
      </c>
      <c r="J64" s="4">
        <v>2259</v>
      </c>
    </row>
    <row r="65" spans="1:10" x14ac:dyDescent="0.25">
      <c r="A65" s="645" t="s">
        <v>17</v>
      </c>
      <c r="B65" s="645" t="s">
        <v>78</v>
      </c>
      <c r="C65" s="4">
        <v>1</v>
      </c>
      <c r="G65" s="645" t="s">
        <v>63</v>
      </c>
      <c r="H65" s="645" t="s">
        <v>149</v>
      </c>
      <c r="I65" s="645" t="s">
        <v>332</v>
      </c>
      <c r="J65" s="4"/>
    </row>
    <row r="66" spans="1:10" x14ac:dyDescent="0.25">
      <c r="A66" s="645" t="s">
        <v>17</v>
      </c>
      <c r="B66" s="645" t="s">
        <v>79</v>
      </c>
      <c r="C66" s="4">
        <v>1</v>
      </c>
      <c r="G66" s="645" t="s">
        <v>231</v>
      </c>
      <c r="H66" s="645" t="s">
        <v>266</v>
      </c>
      <c r="I66" s="645" t="s">
        <v>332</v>
      </c>
      <c r="J66" s="4"/>
    </row>
    <row r="67" spans="1:10" x14ac:dyDescent="0.25">
      <c r="A67" s="645" t="s">
        <v>17</v>
      </c>
      <c r="B67" s="645" t="s">
        <v>75</v>
      </c>
      <c r="C67" s="4">
        <v>1</v>
      </c>
      <c r="G67" s="645" t="s">
        <v>262</v>
      </c>
      <c r="H67" s="645" t="s">
        <v>503</v>
      </c>
      <c r="I67" s="645" t="s">
        <v>332</v>
      </c>
      <c r="J67" s="4"/>
    </row>
    <row r="68" spans="1:10" x14ac:dyDescent="0.25">
      <c r="A68" s="645" t="s">
        <v>17</v>
      </c>
      <c r="B68" s="645" t="s">
        <v>61</v>
      </c>
      <c r="C68" s="4">
        <v>1</v>
      </c>
      <c r="G68" s="645" t="s">
        <v>263</v>
      </c>
      <c r="H68" s="645" t="s">
        <v>504</v>
      </c>
      <c r="I68" s="645" t="s">
        <v>332</v>
      </c>
      <c r="J68" s="4"/>
    </row>
    <row r="69" spans="1:10" x14ac:dyDescent="0.25">
      <c r="A69" s="645" t="s">
        <v>17</v>
      </c>
      <c r="B69" s="645" t="s">
        <v>499</v>
      </c>
      <c r="C69" s="4">
        <v>1</v>
      </c>
      <c r="G69" s="645" t="s">
        <v>70</v>
      </c>
      <c r="H69" s="645" t="s">
        <v>156</v>
      </c>
      <c r="I69" s="645" t="s">
        <v>332</v>
      </c>
      <c r="J69" s="4"/>
    </row>
    <row r="70" spans="1:10" x14ac:dyDescent="0.25">
      <c r="A70" s="645" t="s">
        <v>17</v>
      </c>
      <c r="B70" s="645" t="s">
        <v>77</v>
      </c>
      <c r="C70" s="4">
        <v>1</v>
      </c>
      <c r="G70" s="645" t="s">
        <v>31</v>
      </c>
      <c r="H70" s="645" t="s">
        <v>117</v>
      </c>
      <c r="I70" s="645" t="s">
        <v>935</v>
      </c>
      <c r="J70" s="4">
        <v>204</v>
      </c>
    </row>
    <row r="71" spans="1:10" x14ac:dyDescent="0.25">
      <c r="A71" s="645" t="s">
        <v>17</v>
      </c>
      <c r="B71" s="645" t="s">
        <v>92</v>
      </c>
      <c r="C71" s="4">
        <v>1</v>
      </c>
      <c r="G71" s="645" t="s">
        <v>23</v>
      </c>
      <c r="H71" s="645" t="s">
        <v>109</v>
      </c>
      <c r="I71" s="645" t="s">
        <v>935</v>
      </c>
      <c r="J71" s="4">
        <v>19</v>
      </c>
    </row>
    <row r="72" spans="1:10" x14ac:dyDescent="0.25">
      <c r="A72" s="645" t="s">
        <v>17</v>
      </c>
      <c r="B72" s="645" t="s">
        <v>80</v>
      </c>
      <c r="C72" s="4">
        <v>1</v>
      </c>
      <c r="G72" s="645" t="s">
        <v>64</v>
      </c>
      <c r="H72" s="645" t="s">
        <v>150</v>
      </c>
      <c r="I72" s="645" t="s">
        <v>332</v>
      </c>
      <c r="J72" s="4"/>
    </row>
    <row r="73" spans="1:10" x14ac:dyDescent="0.25">
      <c r="A73" s="645" t="s">
        <v>17</v>
      </c>
      <c r="B73" s="645" t="s">
        <v>507</v>
      </c>
      <c r="C73" s="4">
        <v>1</v>
      </c>
      <c r="G73" s="645" t="s">
        <v>83</v>
      </c>
      <c r="H73" s="645" t="s">
        <v>169</v>
      </c>
      <c r="I73" s="645" t="s">
        <v>332</v>
      </c>
      <c r="J73" s="4"/>
    </row>
    <row r="74" spans="1:10" x14ac:dyDescent="0.25">
      <c r="A74" s="645" t="s">
        <v>17</v>
      </c>
      <c r="B74" s="645" t="s">
        <v>69</v>
      </c>
      <c r="C74" s="4">
        <v>1</v>
      </c>
      <c r="G74" s="645" t="s">
        <v>58</v>
      </c>
      <c r="H74" s="645" t="s">
        <v>144</v>
      </c>
      <c r="I74" s="645" t="s">
        <v>332</v>
      </c>
      <c r="J74" s="4"/>
    </row>
    <row r="75" spans="1:10" x14ac:dyDescent="0.25">
      <c r="A75" s="645" t="s">
        <v>17</v>
      </c>
      <c r="B75" s="645" t="s">
        <v>90</v>
      </c>
      <c r="C75" s="4">
        <v>1</v>
      </c>
      <c r="G75" s="645" t="s">
        <v>57</v>
      </c>
      <c r="H75" s="645" t="s">
        <v>143</v>
      </c>
      <c r="I75" s="645" t="s">
        <v>332</v>
      </c>
      <c r="J75" s="4"/>
    </row>
    <row r="76" spans="1:10" x14ac:dyDescent="0.25">
      <c r="A76" s="645" t="s">
        <v>17</v>
      </c>
      <c r="B76" s="645" t="s">
        <v>1054</v>
      </c>
      <c r="C76" s="4">
        <v>1</v>
      </c>
      <c r="G76" s="645" t="s">
        <v>34</v>
      </c>
      <c r="H76" s="645" t="s">
        <v>120</v>
      </c>
      <c r="I76" s="645" t="s">
        <v>934</v>
      </c>
      <c r="J76" s="4">
        <v>10</v>
      </c>
    </row>
    <row r="77" spans="1:10" x14ac:dyDescent="0.25">
      <c r="A77" s="645" t="s">
        <v>17</v>
      </c>
      <c r="B77" s="645" t="s">
        <v>1055</v>
      </c>
      <c r="C77" s="4">
        <v>1</v>
      </c>
      <c r="G77" s="645" t="s">
        <v>30</v>
      </c>
      <c r="H77" s="645" t="s">
        <v>116</v>
      </c>
      <c r="I77" s="645" t="s">
        <v>935</v>
      </c>
      <c r="J77" s="4">
        <v>228</v>
      </c>
    </row>
    <row r="78" spans="1:10" x14ac:dyDescent="0.25">
      <c r="A78" s="645" t="s">
        <v>17</v>
      </c>
      <c r="B78" s="645" t="s">
        <v>81</v>
      </c>
      <c r="C78" s="4">
        <v>1</v>
      </c>
      <c r="G78" s="645" t="s">
        <v>25</v>
      </c>
      <c r="H78" s="645" t="s">
        <v>111</v>
      </c>
      <c r="I78" s="645" t="s">
        <v>935</v>
      </c>
      <c r="J78" s="4">
        <v>86</v>
      </c>
    </row>
    <row r="79" spans="1:10" x14ac:dyDescent="0.25">
      <c r="A79" s="645" t="s">
        <v>17</v>
      </c>
      <c r="B79" s="645" t="s">
        <v>73</v>
      </c>
      <c r="C79" s="4">
        <v>1</v>
      </c>
      <c r="G79" s="645" t="s">
        <v>518</v>
      </c>
      <c r="H79" s="645" t="s">
        <v>519</v>
      </c>
      <c r="I79" s="645" t="s">
        <v>332</v>
      </c>
      <c r="J79" s="4"/>
    </row>
    <row r="80" spans="1:10" x14ac:dyDescent="0.25">
      <c r="A80" s="645" t="s">
        <v>17</v>
      </c>
      <c r="B80" s="645" t="s">
        <v>91</v>
      </c>
      <c r="C80" s="4">
        <v>1</v>
      </c>
      <c r="G80" s="645" t="s">
        <v>590</v>
      </c>
      <c r="H80" s="645" t="s">
        <v>592</v>
      </c>
      <c r="I80" s="645" t="s">
        <v>934</v>
      </c>
      <c r="J80" s="4">
        <v>249</v>
      </c>
    </row>
    <row r="81" spans="1:10" x14ac:dyDescent="0.25">
      <c r="A81" s="645" t="s">
        <v>17</v>
      </c>
      <c r="B81" s="645" t="s">
        <v>580</v>
      </c>
      <c r="C81" s="4">
        <v>1</v>
      </c>
      <c r="G81" s="645" t="s">
        <v>591</v>
      </c>
      <c r="H81" s="645" t="s">
        <v>593</v>
      </c>
      <c r="I81" s="645" t="s">
        <v>934</v>
      </c>
      <c r="J81" s="4">
        <v>420</v>
      </c>
    </row>
    <row r="82" spans="1:10" x14ac:dyDescent="0.25">
      <c r="A82" s="645" t="s">
        <v>17</v>
      </c>
      <c r="B82" s="645" t="s">
        <v>74</v>
      </c>
      <c r="C82" s="4">
        <v>2</v>
      </c>
      <c r="G82" s="645" t="s">
        <v>65</v>
      </c>
      <c r="H82" s="645" t="s">
        <v>151</v>
      </c>
      <c r="I82" s="645" t="s">
        <v>331</v>
      </c>
      <c r="J82" s="4">
        <v>2703</v>
      </c>
    </row>
    <row r="83" spans="1:10" x14ac:dyDescent="0.25">
      <c r="A83" s="645" t="s">
        <v>17</v>
      </c>
      <c r="B83" s="645" t="s">
        <v>82</v>
      </c>
      <c r="C83" s="4">
        <v>1</v>
      </c>
      <c r="G83" s="645" t="s">
        <v>513</v>
      </c>
      <c r="H83" s="645" t="s">
        <v>514</v>
      </c>
      <c r="I83" s="645" t="s">
        <v>935</v>
      </c>
      <c r="J83" s="4">
        <v>18</v>
      </c>
    </row>
    <row r="84" spans="1:10" x14ac:dyDescent="0.25">
      <c r="A84" s="645" t="s">
        <v>17</v>
      </c>
      <c r="B84" s="645" t="s">
        <v>585</v>
      </c>
      <c r="C84" s="4">
        <v>1</v>
      </c>
      <c r="G84" s="645" t="s">
        <v>76</v>
      </c>
      <c r="H84" s="645" t="s">
        <v>162</v>
      </c>
      <c r="I84" s="645" t="s">
        <v>934</v>
      </c>
      <c r="J84" s="4">
        <v>72</v>
      </c>
    </row>
    <row r="85" spans="1:10" x14ac:dyDescent="0.25">
      <c r="A85" s="645" t="s">
        <v>17</v>
      </c>
      <c r="B85" s="645" t="s">
        <v>586</v>
      </c>
      <c r="C85" s="4">
        <v>1</v>
      </c>
      <c r="G85" s="645" t="s">
        <v>51</v>
      </c>
      <c r="H85" s="645" t="s">
        <v>137</v>
      </c>
      <c r="I85" s="645" t="s">
        <v>935</v>
      </c>
      <c r="J85" s="4">
        <v>144</v>
      </c>
    </row>
    <row r="86" spans="1:10" x14ac:dyDescent="0.25">
      <c r="A86" s="645" t="s">
        <v>17</v>
      </c>
      <c r="B86" s="645" t="s">
        <v>587</v>
      </c>
      <c r="C86" s="4">
        <v>1</v>
      </c>
      <c r="G86" s="645" t="s">
        <v>84</v>
      </c>
      <c r="H86" s="645" t="s">
        <v>170</v>
      </c>
      <c r="I86" s="645" t="s">
        <v>332</v>
      </c>
      <c r="J86" s="4"/>
    </row>
    <row r="87" spans="1:10" x14ac:dyDescent="0.25">
      <c r="A87" s="645" t="s">
        <v>17</v>
      </c>
      <c r="B87" s="645" t="s">
        <v>63</v>
      </c>
      <c r="C87" s="4">
        <v>1</v>
      </c>
      <c r="G87" s="645" t="s">
        <v>87</v>
      </c>
      <c r="H87" s="645" t="s">
        <v>173</v>
      </c>
      <c r="I87" s="645" t="s">
        <v>332</v>
      </c>
      <c r="J87" s="4"/>
    </row>
    <row r="88" spans="1:10" x14ac:dyDescent="0.25">
      <c r="A88" s="645" t="s">
        <v>17</v>
      </c>
      <c r="B88" s="645" t="s">
        <v>231</v>
      </c>
      <c r="C88" s="4">
        <v>1</v>
      </c>
      <c r="G88" s="645" t="s">
        <v>41</v>
      </c>
      <c r="H88" s="645" t="s">
        <v>127</v>
      </c>
      <c r="I88" s="645" t="s">
        <v>331</v>
      </c>
      <c r="J88" s="4">
        <v>617</v>
      </c>
    </row>
    <row r="89" spans="1:10" x14ac:dyDescent="0.25">
      <c r="A89" s="645" t="s">
        <v>17</v>
      </c>
      <c r="B89" s="645" t="s">
        <v>262</v>
      </c>
      <c r="C89" s="4">
        <v>1</v>
      </c>
      <c r="G89" s="645" t="s">
        <v>498</v>
      </c>
      <c r="H89" s="645" t="s">
        <v>265</v>
      </c>
      <c r="I89" s="645" t="s">
        <v>332</v>
      </c>
      <c r="J89" s="4"/>
    </row>
    <row r="90" spans="1:10" x14ac:dyDescent="0.25">
      <c r="A90" s="645" t="s">
        <v>17</v>
      </c>
      <c r="B90" s="645" t="s">
        <v>263</v>
      </c>
      <c r="C90" s="4">
        <v>1</v>
      </c>
      <c r="G90" s="645" t="s">
        <v>85</v>
      </c>
      <c r="H90" s="645" t="s">
        <v>171</v>
      </c>
      <c r="I90" s="645" t="s">
        <v>332</v>
      </c>
      <c r="J90" s="4"/>
    </row>
    <row r="91" spans="1:10" x14ac:dyDescent="0.25">
      <c r="A91" s="645" t="s">
        <v>17</v>
      </c>
      <c r="B91" s="645" t="s">
        <v>70</v>
      </c>
      <c r="C91" s="4">
        <v>1</v>
      </c>
      <c r="G91" s="645" t="s">
        <v>43</v>
      </c>
      <c r="H91" s="645" t="s">
        <v>129</v>
      </c>
      <c r="I91" s="645" t="s">
        <v>935</v>
      </c>
      <c r="J91" s="4">
        <v>63</v>
      </c>
    </row>
    <row r="92" spans="1:10" x14ac:dyDescent="0.25">
      <c r="A92" s="645" t="s">
        <v>17</v>
      </c>
      <c r="B92" s="645" t="s">
        <v>64</v>
      </c>
      <c r="C92" s="4">
        <v>1</v>
      </c>
      <c r="G92" s="645" t="s">
        <v>36</v>
      </c>
      <c r="H92" s="645" t="s">
        <v>122</v>
      </c>
      <c r="I92" s="645" t="s">
        <v>331</v>
      </c>
      <c r="J92" s="4">
        <v>655</v>
      </c>
    </row>
    <row r="93" spans="1:10" x14ac:dyDescent="0.25">
      <c r="A93" s="645" t="s">
        <v>17</v>
      </c>
      <c r="B93" s="645" t="s">
        <v>83</v>
      </c>
      <c r="C93" s="4">
        <v>1</v>
      </c>
      <c r="G93" s="645" t="s">
        <v>24</v>
      </c>
      <c r="H93" s="645" t="s">
        <v>110</v>
      </c>
      <c r="I93" s="645" t="s">
        <v>935</v>
      </c>
      <c r="J93" s="4">
        <v>203</v>
      </c>
    </row>
    <row r="94" spans="1:10" x14ac:dyDescent="0.25">
      <c r="A94" s="645" t="s">
        <v>17</v>
      </c>
      <c r="B94" s="645" t="s">
        <v>518</v>
      </c>
      <c r="C94" s="4">
        <v>1</v>
      </c>
      <c r="G94" s="645" t="s">
        <v>96</v>
      </c>
      <c r="H94" s="645" t="s">
        <v>182</v>
      </c>
      <c r="I94" s="645" t="s">
        <v>332</v>
      </c>
      <c r="J94" s="4"/>
    </row>
    <row r="95" spans="1:10" x14ac:dyDescent="0.25">
      <c r="A95" s="645" t="s">
        <v>17</v>
      </c>
      <c r="B95" s="645" t="s">
        <v>590</v>
      </c>
      <c r="C95" s="4">
        <v>1</v>
      </c>
      <c r="G95" s="645" t="s">
        <v>27</v>
      </c>
      <c r="H95" s="645" t="s">
        <v>113</v>
      </c>
      <c r="I95" s="645" t="s">
        <v>935</v>
      </c>
      <c r="J95" s="4">
        <v>275</v>
      </c>
    </row>
    <row r="96" spans="1:10" x14ac:dyDescent="0.25">
      <c r="A96" s="645" t="s">
        <v>17</v>
      </c>
      <c r="B96" s="645" t="s">
        <v>591</v>
      </c>
      <c r="C96" s="4">
        <v>1</v>
      </c>
      <c r="G96" s="645" t="s">
        <v>66</v>
      </c>
      <c r="H96" s="645" t="s">
        <v>152</v>
      </c>
      <c r="I96" s="645" t="s">
        <v>331</v>
      </c>
      <c r="J96" s="4">
        <v>2272</v>
      </c>
    </row>
    <row r="97" spans="1:10" x14ac:dyDescent="0.25">
      <c r="A97" s="645" t="s">
        <v>17</v>
      </c>
      <c r="B97" s="645" t="s">
        <v>65</v>
      </c>
      <c r="C97" s="4">
        <v>1</v>
      </c>
      <c r="G97" s="645" t="s">
        <v>505</v>
      </c>
      <c r="H97" s="645" t="s">
        <v>506</v>
      </c>
      <c r="I97" s="645" t="s">
        <v>332</v>
      </c>
      <c r="J97" s="4"/>
    </row>
    <row r="98" spans="1:10" x14ac:dyDescent="0.25">
      <c r="A98" s="645" t="s">
        <v>17</v>
      </c>
      <c r="B98" s="645" t="s">
        <v>76</v>
      </c>
      <c r="C98" s="4">
        <v>1</v>
      </c>
      <c r="G98" s="645" t="s">
        <v>67</v>
      </c>
      <c r="H98" s="645" t="s">
        <v>153</v>
      </c>
      <c r="I98" s="645" t="s">
        <v>332</v>
      </c>
      <c r="J98" s="4"/>
    </row>
    <row r="99" spans="1:10" x14ac:dyDescent="0.25">
      <c r="A99" s="645" t="s">
        <v>17</v>
      </c>
      <c r="B99" s="645" t="s">
        <v>84</v>
      </c>
      <c r="C99" s="4">
        <v>1</v>
      </c>
      <c r="G99" s="645" t="s">
        <v>89</v>
      </c>
      <c r="H99" s="645" t="s">
        <v>175</v>
      </c>
      <c r="I99" s="645" t="s">
        <v>332</v>
      </c>
      <c r="J99" s="4"/>
    </row>
    <row r="100" spans="1:10" x14ac:dyDescent="0.25">
      <c r="A100" s="645" t="s">
        <v>17</v>
      </c>
      <c r="B100" s="645" t="s">
        <v>87</v>
      </c>
      <c r="C100" s="4">
        <v>1</v>
      </c>
      <c r="G100" s="645" t="s">
        <v>29</v>
      </c>
      <c r="H100" s="645" t="s">
        <v>115</v>
      </c>
      <c r="I100" s="645" t="s">
        <v>332</v>
      </c>
      <c r="J100" s="4"/>
    </row>
    <row r="101" spans="1:10" x14ac:dyDescent="0.25">
      <c r="A101" s="645" t="s">
        <v>17</v>
      </c>
      <c r="B101" s="645" t="s">
        <v>85</v>
      </c>
      <c r="C101" s="4">
        <v>1</v>
      </c>
      <c r="G101" s="645" t="s">
        <v>86</v>
      </c>
      <c r="H101" s="645" t="s">
        <v>172</v>
      </c>
      <c r="I101" s="645" t="s">
        <v>332</v>
      </c>
      <c r="J101" s="4"/>
    </row>
    <row r="102" spans="1:10" x14ac:dyDescent="0.25">
      <c r="A102" s="645" t="s">
        <v>17</v>
      </c>
      <c r="B102" s="645" t="s">
        <v>66</v>
      </c>
      <c r="C102" s="4">
        <v>1</v>
      </c>
      <c r="G102" s="645" t="s">
        <v>68</v>
      </c>
      <c r="H102" s="645" t="s">
        <v>154</v>
      </c>
      <c r="I102" s="645" t="s">
        <v>331</v>
      </c>
      <c r="J102" s="4">
        <v>981</v>
      </c>
    </row>
    <row r="103" spans="1:10" x14ac:dyDescent="0.25">
      <c r="A103" s="645" t="s">
        <v>17</v>
      </c>
      <c r="B103" s="645" t="s">
        <v>505</v>
      </c>
      <c r="C103" s="4">
        <v>1</v>
      </c>
      <c r="G103" s="645" t="s">
        <v>497</v>
      </c>
      <c r="H103" s="645" t="s">
        <v>267</v>
      </c>
      <c r="I103" s="645" t="s">
        <v>331</v>
      </c>
      <c r="J103" s="4">
        <v>496</v>
      </c>
    </row>
    <row r="104" spans="1:10" x14ac:dyDescent="0.25">
      <c r="A104" s="645" t="s">
        <v>17</v>
      </c>
      <c r="B104" s="645" t="s">
        <v>67</v>
      </c>
      <c r="C104" s="4">
        <v>1</v>
      </c>
      <c r="G104" s="645" t="s">
        <v>578</v>
      </c>
      <c r="H104" s="645" t="s">
        <v>579</v>
      </c>
      <c r="I104" s="645" t="s">
        <v>934</v>
      </c>
      <c r="J104" s="4">
        <v>32</v>
      </c>
    </row>
    <row r="105" spans="1:10" x14ac:dyDescent="0.25">
      <c r="A105" s="645" t="s">
        <v>17</v>
      </c>
      <c r="B105" s="645" t="s">
        <v>89</v>
      </c>
      <c r="C105" s="4">
        <v>1</v>
      </c>
      <c r="G105" s="645" t="s">
        <v>94</v>
      </c>
      <c r="H105" s="645" t="s">
        <v>180</v>
      </c>
      <c r="I105" s="645" t="s">
        <v>332</v>
      </c>
      <c r="J105" s="4"/>
    </row>
    <row r="106" spans="1:10" x14ac:dyDescent="0.25">
      <c r="A106" s="645" t="s">
        <v>17</v>
      </c>
      <c r="B106" s="645" t="s">
        <v>86</v>
      </c>
      <c r="C106" s="4">
        <v>1</v>
      </c>
      <c r="G106" s="645" t="s">
        <v>93</v>
      </c>
      <c r="H106" s="645" t="s">
        <v>179</v>
      </c>
      <c r="I106" s="645" t="s">
        <v>332</v>
      </c>
      <c r="J106" s="4"/>
    </row>
    <row r="107" spans="1:10" x14ac:dyDescent="0.25">
      <c r="A107" s="645" t="s">
        <v>17</v>
      </c>
      <c r="B107" s="645" t="s">
        <v>68</v>
      </c>
      <c r="C107" s="4">
        <v>1</v>
      </c>
      <c r="G107" s="645" t="s">
        <v>32</v>
      </c>
      <c r="H107" s="645" t="s">
        <v>118</v>
      </c>
      <c r="I107" s="645" t="s">
        <v>935</v>
      </c>
      <c r="J107" s="4">
        <v>365</v>
      </c>
    </row>
    <row r="108" spans="1:10" x14ac:dyDescent="0.25">
      <c r="A108" s="645" t="s">
        <v>17</v>
      </c>
      <c r="B108" s="645" t="s">
        <v>497</v>
      </c>
      <c r="C108" s="4">
        <v>1</v>
      </c>
      <c r="G108" s="645" t="s">
        <v>50</v>
      </c>
      <c r="H108" s="645" t="s">
        <v>136</v>
      </c>
      <c r="I108" s="645" t="s">
        <v>935</v>
      </c>
      <c r="J108" s="4">
        <v>112</v>
      </c>
    </row>
    <row r="109" spans="1:10" x14ac:dyDescent="0.25">
      <c r="A109" s="645" t="s">
        <v>17</v>
      </c>
      <c r="B109" s="645" t="s">
        <v>94</v>
      </c>
      <c r="C109" s="4">
        <v>1</v>
      </c>
      <c r="G109" s="645" t="s">
        <v>567</v>
      </c>
      <c r="H109" s="645" t="s">
        <v>571</v>
      </c>
      <c r="I109" s="645" t="s">
        <v>332</v>
      </c>
      <c r="J109" s="4"/>
    </row>
    <row r="110" spans="1:10" x14ac:dyDescent="0.25">
      <c r="A110" s="645" t="s">
        <v>17</v>
      </c>
      <c r="B110" s="645" t="s">
        <v>93</v>
      </c>
      <c r="C110" s="4">
        <v>1</v>
      </c>
      <c r="G110" s="645" t="s">
        <v>568</v>
      </c>
      <c r="H110" s="645" t="s">
        <v>572</v>
      </c>
      <c r="I110" s="645" t="s">
        <v>332</v>
      </c>
      <c r="J110" s="4"/>
    </row>
    <row r="111" spans="1:10" x14ac:dyDescent="0.25">
      <c r="A111" s="645" t="s">
        <v>929</v>
      </c>
      <c r="B111" s="645" t="s">
        <v>929</v>
      </c>
      <c r="C111" s="4"/>
      <c r="G111" s="645" t="s">
        <v>929</v>
      </c>
      <c r="H111" s="645" t="s">
        <v>929</v>
      </c>
      <c r="I111" s="645" t="s">
        <v>929</v>
      </c>
      <c r="J111"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E91" sqref="E91"/>
    </sheetView>
  </sheetViews>
  <sheetFormatPr defaultRowHeight="15" x14ac:dyDescent="0.2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6.42578125" customWidth="1"/>
  </cols>
  <sheetData>
    <row r="1" spans="1:17" s="1" customFormat="1" ht="36" x14ac:dyDescent="0.25">
      <c r="A1" s="831"/>
      <c r="B1" s="826"/>
      <c r="C1" s="826"/>
      <c r="D1" s="826"/>
      <c r="E1" s="826"/>
      <c r="F1" s="826"/>
      <c r="G1" s="826"/>
      <c r="H1" s="826"/>
      <c r="I1" s="826"/>
      <c r="J1" s="826"/>
      <c r="K1" s="826"/>
      <c r="L1" s="826"/>
      <c r="M1" s="826"/>
      <c r="N1" s="832"/>
      <c r="P1" s="57"/>
      <c r="Q1" s="57"/>
    </row>
    <row r="2" spans="1:17" s="1" customFormat="1" ht="33" customHeight="1" x14ac:dyDescent="0.25">
      <c r="A2" s="1254" t="s">
        <v>1000</v>
      </c>
      <c r="B2" s="1255"/>
      <c r="C2" s="1255"/>
      <c r="D2" s="1255"/>
      <c r="E2" s="1255"/>
      <c r="F2" s="1255"/>
      <c r="G2" s="1255"/>
      <c r="H2" s="1255"/>
      <c r="I2" s="827"/>
      <c r="J2" s="827"/>
      <c r="K2" s="827"/>
      <c r="L2" s="827"/>
      <c r="M2" s="827"/>
      <c r="N2" s="833"/>
    </row>
    <row r="3" spans="1:17" s="16" customFormat="1" ht="36" x14ac:dyDescent="0.25">
      <c r="A3" s="835">
        <f>Report_Date</f>
        <v>43434</v>
      </c>
      <c r="B3" s="828"/>
      <c r="C3" s="828"/>
      <c r="D3" s="828"/>
      <c r="E3" s="828"/>
      <c r="F3" s="829"/>
      <c r="G3" s="829"/>
      <c r="H3" s="830"/>
      <c r="I3" s="830"/>
      <c r="J3" s="830"/>
      <c r="K3" s="830"/>
      <c r="L3" s="830"/>
      <c r="M3" s="830"/>
      <c r="N3" s="834"/>
    </row>
    <row r="4" spans="1:17" s="645" customFormat="1" x14ac:dyDescent="0.25"/>
    <row r="5" spans="1:17" s="645" customFormat="1" x14ac:dyDescent="0.25">
      <c r="A5" s="15" t="s">
        <v>1001</v>
      </c>
    </row>
    <row r="6" spans="1:17" s="645" customFormat="1" x14ac:dyDescent="0.25">
      <c r="A6" s="15"/>
    </row>
    <row r="7" spans="1:17" x14ac:dyDescent="0.25">
      <c r="A7" s="170" t="s">
        <v>10</v>
      </c>
      <c r="B7" s="646" t="s">
        <v>7</v>
      </c>
    </row>
    <row r="8" spans="1:17" x14ac:dyDescent="0.25">
      <c r="A8" s="170" t="s">
        <v>329</v>
      </c>
      <c r="B8" s="646" t="s">
        <v>716</v>
      </c>
    </row>
    <row r="10" spans="1:17" x14ac:dyDescent="0.25">
      <c r="A10" s="170" t="s">
        <v>203</v>
      </c>
      <c r="B10" s="646" t="s">
        <v>1036</v>
      </c>
      <c r="C10" s="646" t="s">
        <v>850</v>
      </c>
      <c r="D10" s="646" t="s">
        <v>851</v>
      </c>
      <c r="E10" s="646" t="s">
        <v>852</v>
      </c>
      <c r="F10" s="646" t="s">
        <v>853</v>
      </c>
      <c r="G10" s="646" t="s">
        <v>854</v>
      </c>
      <c r="H10" s="646" t="s">
        <v>855</v>
      </c>
      <c r="I10" s="646" t="s">
        <v>870</v>
      </c>
      <c r="J10" s="646" t="s">
        <v>983</v>
      </c>
      <c r="K10" s="646" t="s">
        <v>1026</v>
      </c>
      <c r="L10" s="646" t="s">
        <v>1025</v>
      </c>
      <c r="M10" s="646" t="s">
        <v>1024</v>
      </c>
      <c r="N10" s="646" t="s">
        <v>1045</v>
      </c>
      <c r="O10" s="646" t="s">
        <v>1124</v>
      </c>
      <c r="P10" s="646" t="s">
        <v>1148</v>
      </c>
    </row>
    <row r="11" spans="1:17" x14ac:dyDescent="0.25">
      <c r="A11" s="946">
        <v>2012</v>
      </c>
      <c r="B11" s="197">
        <v>11740</v>
      </c>
      <c r="C11" s="197">
        <v>7654</v>
      </c>
      <c r="D11" s="197">
        <v>13655</v>
      </c>
      <c r="E11" s="197">
        <v>8296</v>
      </c>
      <c r="F11" s="197">
        <v>4651</v>
      </c>
      <c r="G11" s="197">
        <v>1390</v>
      </c>
      <c r="H11" s="197"/>
      <c r="I11" s="197"/>
      <c r="J11" s="197"/>
      <c r="K11" s="197"/>
      <c r="L11" s="197"/>
      <c r="M11" s="197"/>
      <c r="N11" s="197"/>
      <c r="O11" s="197"/>
      <c r="P11" s="197"/>
    </row>
    <row r="12" spans="1:17" x14ac:dyDescent="0.25">
      <c r="A12" s="946">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x14ac:dyDescent="0.25">
      <c r="A13" s="946">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x14ac:dyDescent="0.25">
      <c r="A14" s="946">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x14ac:dyDescent="0.25">
      <c r="A15" s="946">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x14ac:dyDescent="0.25">
      <c r="A16" s="946">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5" customFormat="1" x14ac:dyDescent="0.25">
      <c r="A17" s="946">
        <v>2018</v>
      </c>
      <c r="B17" s="197"/>
      <c r="C17" s="197">
        <v>18400</v>
      </c>
      <c r="D17" s="197">
        <v>8893</v>
      </c>
      <c r="E17" s="197">
        <v>15406</v>
      </c>
      <c r="F17" s="197">
        <v>9374</v>
      </c>
      <c r="G17" s="197">
        <v>2184</v>
      </c>
      <c r="H17" s="197"/>
      <c r="I17" s="197"/>
      <c r="J17" s="197">
        <v>35310</v>
      </c>
      <c r="K17" s="197">
        <v>852</v>
      </c>
      <c r="L17" s="197">
        <v>1437</v>
      </c>
      <c r="M17" s="197"/>
      <c r="N17" s="197">
        <v>703</v>
      </c>
      <c r="O17" s="197">
        <v>22667</v>
      </c>
      <c r="P17" s="197">
        <v>264</v>
      </c>
    </row>
    <row r="18" spans="1:16" s="645" customFormat="1" x14ac:dyDescent="0.25">
      <c r="A18" s="946" t="s">
        <v>204</v>
      </c>
      <c r="B18" s="197">
        <v>55519</v>
      </c>
      <c r="C18" s="197">
        <v>106052</v>
      </c>
      <c r="D18" s="197">
        <v>68811</v>
      </c>
      <c r="E18" s="197">
        <v>98608</v>
      </c>
      <c r="F18" s="197">
        <v>48076</v>
      </c>
      <c r="G18" s="197">
        <v>22940</v>
      </c>
      <c r="H18" s="197">
        <v>36804</v>
      </c>
      <c r="I18" s="197">
        <v>21166</v>
      </c>
      <c r="J18" s="197">
        <v>175971</v>
      </c>
      <c r="K18" s="197">
        <v>17637</v>
      </c>
      <c r="L18" s="197">
        <v>11454</v>
      </c>
      <c r="M18" s="197">
        <v>628</v>
      </c>
      <c r="N18" s="197">
        <v>1092</v>
      </c>
      <c r="O18" s="197">
        <v>53237</v>
      </c>
      <c r="P18" s="197">
        <v>264</v>
      </c>
    </row>
    <row r="19" spans="1:16" s="5" customFormat="1" x14ac:dyDescent="0.25">
      <c r="A19" s="255"/>
      <c r="B19" s="726"/>
      <c r="C19" s="726"/>
      <c r="D19" s="726"/>
      <c r="E19" s="726"/>
      <c r="F19" s="726"/>
      <c r="G19" s="726"/>
      <c r="H19" s="726"/>
      <c r="I19" s="726"/>
      <c r="J19" s="726"/>
      <c r="K19" s="726"/>
      <c r="L19" s="726"/>
    </row>
    <row r="20" spans="1:16" s="645" customFormat="1" x14ac:dyDescent="0.25">
      <c r="A20" s="15" t="s">
        <v>1002</v>
      </c>
      <c r="B20" s="507"/>
      <c r="C20" s="507"/>
      <c r="D20" s="507"/>
      <c r="E20" s="507"/>
      <c r="F20" s="507"/>
      <c r="G20" s="507"/>
      <c r="H20" s="507"/>
      <c r="I20" s="507"/>
    </row>
    <row r="22" spans="1:16" x14ac:dyDescent="0.25">
      <c r="A22" s="170" t="s">
        <v>10</v>
      </c>
      <c r="B22" s="646" t="s">
        <v>7</v>
      </c>
      <c r="C22" s="645"/>
      <c r="D22" s="645"/>
      <c r="E22" s="645"/>
      <c r="F22" s="645"/>
      <c r="G22" s="645"/>
      <c r="H22" s="645"/>
      <c r="I22" s="645"/>
    </row>
    <row r="23" spans="1:16" x14ac:dyDescent="0.25">
      <c r="A23" s="170" t="s">
        <v>329</v>
      </c>
      <c r="B23" s="646" t="s">
        <v>716</v>
      </c>
      <c r="C23" s="645"/>
      <c r="D23" s="645"/>
      <c r="E23" s="645"/>
      <c r="F23" s="645"/>
      <c r="G23" s="645"/>
      <c r="H23" s="645"/>
      <c r="I23" s="645"/>
    </row>
    <row r="24" spans="1:16" x14ac:dyDescent="0.25">
      <c r="A24" s="645"/>
      <c r="B24" s="645"/>
      <c r="C24" s="645"/>
      <c r="D24" s="645"/>
      <c r="E24" s="645"/>
      <c r="F24" s="645"/>
      <c r="G24" s="645"/>
      <c r="H24" s="645"/>
      <c r="I24" s="645"/>
    </row>
    <row r="25" spans="1:16" x14ac:dyDescent="0.25">
      <c r="A25" s="170" t="s">
        <v>203</v>
      </c>
      <c r="B25" s="646" t="s">
        <v>1036</v>
      </c>
      <c r="C25" s="646" t="s">
        <v>850</v>
      </c>
      <c r="D25" s="646" t="s">
        <v>851</v>
      </c>
      <c r="E25" s="646" t="s">
        <v>852</v>
      </c>
      <c r="F25" s="646" t="s">
        <v>853</v>
      </c>
      <c r="G25" s="646" t="s">
        <v>854</v>
      </c>
      <c r="H25" s="646" t="s">
        <v>855</v>
      </c>
      <c r="I25" s="646" t="s">
        <v>870</v>
      </c>
      <c r="J25" s="646" t="s">
        <v>983</v>
      </c>
      <c r="K25" s="646" t="s">
        <v>1026</v>
      </c>
      <c r="L25" s="646" t="s">
        <v>1025</v>
      </c>
      <c r="M25" s="646" t="s">
        <v>1024</v>
      </c>
      <c r="N25" s="646" t="s">
        <v>1045</v>
      </c>
      <c r="O25" s="646" t="s">
        <v>1124</v>
      </c>
      <c r="P25" s="646" t="s">
        <v>1148</v>
      </c>
    </row>
    <row r="26" spans="1:16" x14ac:dyDescent="0.25">
      <c r="A26" s="946">
        <v>2012</v>
      </c>
      <c r="B26" s="197"/>
      <c r="C26" s="197"/>
      <c r="D26" s="197"/>
      <c r="E26" s="197"/>
      <c r="F26" s="197"/>
      <c r="G26" s="197"/>
      <c r="H26" s="197"/>
      <c r="I26" s="197"/>
      <c r="J26" s="197"/>
      <c r="K26" s="197"/>
      <c r="L26" s="197"/>
      <c r="M26" s="197"/>
      <c r="N26" s="197"/>
      <c r="O26" s="197"/>
      <c r="P26" s="197"/>
    </row>
    <row r="27" spans="1:16" x14ac:dyDescent="0.25">
      <c r="A27" s="169" t="s">
        <v>561</v>
      </c>
      <c r="B27" s="197"/>
      <c r="C27" s="197">
        <v>996</v>
      </c>
      <c r="D27" s="197">
        <v>298</v>
      </c>
      <c r="E27" s="197">
        <v>996</v>
      </c>
      <c r="F27" s="197">
        <v>498</v>
      </c>
      <c r="G27" s="197"/>
      <c r="H27" s="197"/>
      <c r="I27" s="197"/>
      <c r="J27" s="197"/>
      <c r="K27" s="197"/>
      <c r="L27" s="197"/>
      <c r="M27" s="197"/>
      <c r="N27" s="197"/>
      <c r="O27" s="197"/>
      <c r="P27" s="197"/>
    </row>
    <row r="28" spans="1:16" x14ac:dyDescent="0.25">
      <c r="A28" s="169" t="s">
        <v>14</v>
      </c>
      <c r="B28" s="197"/>
      <c r="C28" s="197">
        <v>1746</v>
      </c>
      <c r="D28" s="197">
        <v>947</v>
      </c>
      <c r="E28" s="197">
        <v>1746</v>
      </c>
      <c r="F28" s="197">
        <v>672</v>
      </c>
      <c r="G28" s="197">
        <v>641</v>
      </c>
      <c r="H28" s="197"/>
      <c r="I28" s="197"/>
      <c r="J28" s="197"/>
      <c r="K28" s="197"/>
      <c r="L28" s="197"/>
      <c r="M28" s="197"/>
      <c r="N28" s="197"/>
      <c r="O28" s="197"/>
      <c r="P28" s="197"/>
    </row>
    <row r="29" spans="1:16" x14ac:dyDescent="0.25">
      <c r="A29" s="169" t="s">
        <v>18</v>
      </c>
      <c r="B29" s="197">
        <v>3000</v>
      </c>
      <c r="C29" s="197"/>
      <c r="D29" s="197">
        <v>1180</v>
      </c>
      <c r="E29" s="197"/>
      <c r="F29" s="197"/>
      <c r="G29" s="197"/>
      <c r="H29" s="197"/>
      <c r="I29" s="197"/>
      <c r="J29" s="197"/>
      <c r="K29" s="197"/>
      <c r="L29" s="197"/>
      <c r="M29" s="197"/>
      <c r="N29" s="197"/>
      <c r="O29" s="197"/>
      <c r="P29" s="197"/>
    </row>
    <row r="30" spans="1:16" x14ac:dyDescent="0.25">
      <c r="A30" s="169" t="s">
        <v>11</v>
      </c>
      <c r="B30" s="197"/>
      <c r="C30" s="197">
        <v>1015</v>
      </c>
      <c r="D30" s="197">
        <v>197</v>
      </c>
      <c r="E30" s="197">
        <v>788</v>
      </c>
      <c r="F30" s="197">
        <v>354</v>
      </c>
      <c r="G30" s="197"/>
      <c r="H30" s="197"/>
      <c r="I30" s="197"/>
      <c r="J30" s="197"/>
      <c r="K30" s="197"/>
      <c r="L30" s="197"/>
      <c r="M30" s="197"/>
      <c r="N30" s="197"/>
      <c r="O30" s="197"/>
      <c r="P30" s="197"/>
    </row>
    <row r="31" spans="1:16" x14ac:dyDescent="0.25">
      <c r="A31" s="169" t="s">
        <v>932</v>
      </c>
      <c r="B31" s="197"/>
      <c r="C31" s="197">
        <v>240</v>
      </c>
      <c r="D31" s="197">
        <v>323</v>
      </c>
      <c r="E31" s="197"/>
      <c r="F31" s="197"/>
      <c r="G31" s="197"/>
      <c r="H31" s="197"/>
      <c r="I31" s="197"/>
      <c r="J31" s="197"/>
      <c r="K31" s="197"/>
      <c r="L31" s="197"/>
      <c r="M31" s="197"/>
      <c r="N31" s="197"/>
      <c r="O31" s="197"/>
      <c r="P31" s="197"/>
    </row>
    <row r="32" spans="1:16" x14ac:dyDescent="0.25">
      <c r="A32" s="169" t="s">
        <v>814</v>
      </c>
      <c r="B32" s="197"/>
      <c r="C32" s="197">
        <v>720</v>
      </c>
      <c r="D32" s="197">
        <v>190</v>
      </c>
      <c r="E32" s="197">
        <v>720</v>
      </c>
      <c r="F32" s="197">
        <v>190</v>
      </c>
      <c r="G32" s="197">
        <v>749</v>
      </c>
      <c r="H32" s="197"/>
      <c r="I32" s="197"/>
      <c r="J32" s="197"/>
      <c r="K32" s="197"/>
      <c r="L32" s="197"/>
      <c r="M32" s="197"/>
      <c r="N32" s="197"/>
      <c r="O32" s="197"/>
      <c r="P32" s="197"/>
    </row>
    <row r="33" spans="1:16" x14ac:dyDescent="0.25">
      <c r="A33" s="169" t="s">
        <v>13</v>
      </c>
      <c r="B33" s="197"/>
      <c r="C33" s="197">
        <v>2937</v>
      </c>
      <c r="D33" s="197">
        <v>5055</v>
      </c>
      <c r="E33" s="197">
        <v>3854</v>
      </c>
      <c r="F33" s="197">
        <v>2937</v>
      </c>
      <c r="G33" s="197"/>
      <c r="H33" s="197"/>
      <c r="I33" s="197"/>
      <c r="J33" s="197"/>
      <c r="K33" s="197"/>
      <c r="L33" s="197"/>
      <c r="M33" s="197"/>
      <c r="N33" s="197"/>
      <c r="O33" s="197"/>
      <c r="P33" s="197"/>
    </row>
    <row r="34" spans="1:16" x14ac:dyDescent="0.25">
      <c r="A34" s="169" t="s">
        <v>17</v>
      </c>
      <c r="B34" s="197">
        <v>8740</v>
      </c>
      <c r="C34" s="197"/>
      <c r="D34" s="197">
        <v>5465</v>
      </c>
      <c r="E34" s="197">
        <v>192</v>
      </c>
      <c r="F34" s="197"/>
      <c r="G34" s="197"/>
      <c r="H34" s="197"/>
      <c r="I34" s="197"/>
      <c r="J34" s="197"/>
      <c r="K34" s="197"/>
      <c r="L34" s="197"/>
      <c r="M34" s="197"/>
      <c r="N34" s="197"/>
      <c r="O34" s="197"/>
      <c r="P34" s="197"/>
    </row>
    <row r="35" spans="1:16" x14ac:dyDescent="0.25">
      <c r="A35" s="946" t="s">
        <v>984</v>
      </c>
      <c r="B35" s="197">
        <v>11740</v>
      </c>
      <c r="C35" s="197">
        <v>7654</v>
      </c>
      <c r="D35" s="197">
        <v>13655</v>
      </c>
      <c r="E35" s="197">
        <v>8296</v>
      </c>
      <c r="F35" s="197">
        <v>4651</v>
      </c>
      <c r="G35" s="197">
        <v>1390</v>
      </c>
      <c r="H35" s="197"/>
      <c r="I35" s="197"/>
      <c r="J35" s="197"/>
      <c r="K35" s="197"/>
      <c r="L35" s="197"/>
      <c r="M35" s="197"/>
      <c r="N35" s="197"/>
      <c r="O35" s="197"/>
      <c r="P35" s="197"/>
    </row>
    <row r="36" spans="1:16" x14ac:dyDescent="0.25">
      <c r="A36" s="946">
        <v>2013</v>
      </c>
      <c r="B36" s="197"/>
      <c r="C36" s="197"/>
      <c r="D36" s="197"/>
      <c r="E36" s="197"/>
      <c r="F36" s="197"/>
      <c r="G36" s="197"/>
      <c r="H36" s="197"/>
      <c r="I36" s="197"/>
      <c r="J36" s="197"/>
      <c r="K36" s="197"/>
      <c r="L36" s="197"/>
      <c r="M36" s="197"/>
      <c r="N36" s="197"/>
      <c r="O36" s="197"/>
      <c r="P36" s="197"/>
    </row>
    <row r="37" spans="1:16" x14ac:dyDescent="0.25">
      <c r="A37" s="169" t="s">
        <v>561</v>
      </c>
      <c r="B37" s="197"/>
      <c r="C37" s="197"/>
      <c r="D37" s="197"/>
      <c r="E37" s="197"/>
      <c r="F37" s="197"/>
      <c r="G37" s="197"/>
      <c r="H37" s="197"/>
      <c r="I37" s="197"/>
      <c r="J37" s="197"/>
      <c r="K37" s="197"/>
      <c r="L37" s="197"/>
      <c r="M37" s="197"/>
      <c r="N37" s="197"/>
      <c r="O37" s="197"/>
      <c r="P37" s="197"/>
    </row>
    <row r="38" spans="1:16" x14ac:dyDescent="0.25">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x14ac:dyDescent="0.25">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x14ac:dyDescent="0.25">
      <c r="A41" s="169" t="s">
        <v>932</v>
      </c>
      <c r="B41" s="197"/>
      <c r="C41" s="197">
        <v>1474</v>
      </c>
      <c r="D41" s="197">
        <v>5</v>
      </c>
      <c r="E41" s="197">
        <v>1474</v>
      </c>
      <c r="F41" s="197">
        <v>737</v>
      </c>
      <c r="G41" s="197">
        <v>737</v>
      </c>
      <c r="H41" s="197">
        <v>706</v>
      </c>
      <c r="I41" s="197"/>
      <c r="J41" s="197">
        <v>1412</v>
      </c>
      <c r="K41" s="197"/>
      <c r="L41" s="197"/>
      <c r="M41" s="197"/>
      <c r="N41" s="197"/>
      <c r="O41" s="197"/>
      <c r="P41" s="197"/>
    </row>
    <row r="42" spans="1:16" x14ac:dyDescent="0.25">
      <c r="A42" s="169" t="s">
        <v>814</v>
      </c>
      <c r="B42" s="197"/>
      <c r="C42" s="197">
        <v>2341</v>
      </c>
      <c r="D42" s="197">
        <v>799</v>
      </c>
      <c r="E42" s="197">
        <v>2341</v>
      </c>
      <c r="F42" s="197">
        <v>799</v>
      </c>
      <c r="G42" s="197">
        <v>799</v>
      </c>
      <c r="H42" s="197">
        <v>1542</v>
      </c>
      <c r="I42" s="197"/>
      <c r="J42" s="197">
        <v>1598</v>
      </c>
      <c r="K42" s="197"/>
      <c r="L42" s="197"/>
      <c r="M42" s="197"/>
      <c r="N42" s="197"/>
      <c r="O42" s="197">
        <v>799</v>
      </c>
      <c r="P42" s="197"/>
    </row>
    <row r="43" spans="1:16" x14ac:dyDescent="0.25">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x14ac:dyDescent="0.25">
      <c r="A46" s="946" t="s">
        <v>985</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x14ac:dyDescent="0.25">
      <c r="A47" s="946">
        <v>2014</v>
      </c>
      <c r="B47" s="197"/>
      <c r="C47" s="197"/>
      <c r="D47" s="197"/>
      <c r="E47" s="197"/>
      <c r="F47" s="197"/>
      <c r="G47" s="197"/>
      <c r="H47" s="197"/>
      <c r="I47" s="197"/>
      <c r="J47" s="197"/>
      <c r="K47" s="197"/>
      <c r="L47" s="197"/>
      <c r="M47" s="197"/>
      <c r="N47" s="197"/>
      <c r="O47" s="197"/>
      <c r="P47" s="197"/>
    </row>
    <row r="48" spans="1:16" x14ac:dyDescent="0.25">
      <c r="A48" s="169" t="s">
        <v>14</v>
      </c>
      <c r="B48" s="197">
        <v>1</v>
      </c>
      <c r="C48" s="197">
        <v>4</v>
      </c>
      <c r="D48" s="197"/>
      <c r="E48" s="197">
        <v>4</v>
      </c>
      <c r="F48" s="197">
        <v>2</v>
      </c>
      <c r="G48" s="197">
        <v>5</v>
      </c>
      <c r="H48" s="197">
        <v>2</v>
      </c>
      <c r="I48" s="197"/>
      <c r="J48" s="197">
        <v>4</v>
      </c>
      <c r="K48" s="197"/>
      <c r="L48" s="197"/>
      <c r="M48" s="197"/>
      <c r="N48" s="197"/>
      <c r="O48" s="197"/>
      <c r="P48" s="197"/>
    </row>
    <row r="49" spans="1:16"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x14ac:dyDescent="0.25">
      <c r="A50" s="169" t="s">
        <v>13</v>
      </c>
      <c r="B50" s="197"/>
      <c r="C50" s="197">
        <v>2815</v>
      </c>
      <c r="D50" s="197"/>
      <c r="E50" s="197">
        <v>2008</v>
      </c>
      <c r="F50" s="197">
        <v>994</v>
      </c>
      <c r="G50" s="197">
        <v>8705</v>
      </c>
      <c r="H50" s="197">
        <v>994</v>
      </c>
      <c r="I50" s="197"/>
      <c r="J50" s="197">
        <v>2108</v>
      </c>
      <c r="K50" s="197"/>
      <c r="L50" s="197"/>
      <c r="M50" s="197"/>
      <c r="N50" s="197"/>
      <c r="O50" s="197"/>
      <c r="P50" s="197"/>
    </row>
    <row r="51" spans="1:16"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x14ac:dyDescent="0.25">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x14ac:dyDescent="0.25">
      <c r="A53" s="946" t="s">
        <v>986</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x14ac:dyDescent="0.25">
      <c r="A54" s="946">
        <v>2015</v>
      </c>
      <c r="B54" s="197"/>
      <c r="C54" s="197"/>
      <c r="D54" s="197"/>
      <c r="E54" s="197"/>
      <c r="F54" s="197"/>
      <c r="G54" s="197"/>
      <c r="H54" s="197"/>
      <c r="I54" s="197"/>
      <c r="J54" s="197"/>
      <c r="K54" s="197"/>
      <c r="L54" s="197"/>
      <c r="M54" s="197"/>
      <c r="N54" s="197"/>
      <c r="O54" s="197"/>
      <c r="P54" s="197"/>
    </row>
    <row r="55" spans="1:16" x14ac:dyDescent="0.25">
      <c r="A55" s="169" t="s">
        <v>14</v>
      </c>
      <c r="B55" s="197"/>
      <c r="C55" s="197"/>
      <c r="D55" s="197">
        <v>876</v>
      </c>
      <c r="E55" s="197"/>
      <c r="F55" s="197"/>
      <c r="G55" s="197"/>
      <c r="H55" s="197"/>
      <c r="I55" s="197"/>
      <c r="J55" s="197"/>
      <c r="K55" s="197"/>
      <c r="L55" s="197"/>
      <c r="M55" s="197"/>
      <c r="N55" s="197"/>
      <c r="O55" s="197"/>
      <c r="P55" s="197"/>
    </row>
    <row r="56" spans="1:16"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x14ac:dyDescent="0.25">
      <c r="A57" s="169" t="s">
        <v>11</v>
      </c>
      <c r="B57" s="197"/>
      <c r="C57" s="197"/>
      <c r="D57" s="197">
        <v>879</v>
      </c>
      <c r="E57" s="197"/>
      <c r="F57" s="197"/>
      <c r="G57" s="197"/>
      <c r="H57" s="197"/>
      <c r="I57" s="197"/>
      <c r="J57" s="197"/>
      <c r="K57" s="197"/>
      <c r="L57" s="197"/>
      <c r="M57" s="197"/>
      <c r="N57" s="197"/>
      <c r="O57" s="197"/>
      <c r="P57" s="197"/>
    </row>
    <row r="58" spans="1:16" x14ac:dyDescent="0.25">
      <c r="A58" s="169" t="s">
        <v>932</v>
      </c>
      <c r="B58" s="197"/>
      <c r="C58" s="197"/>
      <c r="D58" s="197">
        <v>111</v>
      </c>
      <c r="E58" s="197"/>
      <c r="F58" s="197"/>
      <c r="G58" s="197"/>
      <c r="H58" s="197"/>
      <c r="I58" s="197"/>
      <c r="J58" s="197"/>
      <c r="K58" s="197"/>
      <c r="L58" s="197"/>
      <c r="M58" s="197"/>
      <c r="N58" s="197"/>
      <c r="O58" s="197"/>
      <c r="P58" s="197"/>
    </row>
    <row r="59" spans="1:16" x14ac:dyDescent="0.25">
      <c r="A59" s="169" t="s">
        <v>814</v>
      </c>
      <c r="B59" s="197"/>
      <c r="C59" s="197"/>
      <c r="D59" s="197"/>
      <c r="E59" s="197"/>
      <c r="F59" s="197"/>
      <c r="G59" s="197"/>
      <c r="H59" s="197"/>
      <c r="I59" s="197"/>
      <c r="J59" s="197"/>
      <c r="K59" s="197"/>
      <c r="L59" s="197"/>
      <c r="M59" s="197"/>
      <c r="N59" s="197"/>
      <c r="O59" s="197"/>
      <c r="P59" s="197"/>
    </row>
    <row r="60" spans="1:16"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x14ac:dyDescent="0.25">
      <c r="A63" s="946" t="s">
        <v>987</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x14ac:dyDescent="0.25">
      <c r="A64" s="946">
        <v>2016</v>
      </c>
      <c r="B64" s="197"/>
      <c r="C64" s="197"/>
      <c r="D64" s="197"/>
      <c r="E64" s="197"/>
      <c r="F64" s="197"/>
      <c r="G64" s="197"/>
      <c r="H64" s="197"/>
      <c r="I64" s="197"/>
      <c r="J64" s="197"/>
      <c r="K64" s="197"/>
      <c r="L64" s="197"/>
      <c r="M64" s="197"/>
      <c r="N64" s="197"/>
      <c r="O64" s="197"/>
      <c r="P64" s="197"/>
    </row>
    <row r="65" spans="1:16" x14ac:dyDescent="0.25">
      <c r="A65" s="169" t="s">
        <v>561</v>
      </c>
      <c r="B65" s="197"/>
      <c r="C65" s="197"/>
      <c r="D65" s="197"/>
      <c r="E65" s="197">
        <v>919</v>
      </c>
      <c r="F65" s="197"/>
      <c r="G65" s="197"/>
      <c r="H65" s="197"/>
      <c r="I65" s="197"/>
      <c r="J65" s="197"/>
      <c r="K65" s="197"/>
      <c r="L65" s="197"/>
      <c r="M65" s="197"/>
      <c r="N65" s="197"/>
      <c r="O65" s="197">
        <v>492</v>
      </c>
      <c r="P65" s="197"/>
    </row>
    <row r="66" spans="1:16" x14ac:dyDescent="0.25">
      <c r="A66" s="169" t="s">
        <v>814</v>
      </c>
      <c r="B66" s="197"/>
      <c r="C66" s="197">
        <v>724</v>
      </c>
      <c r="D66" s="197">
        <v>724</v>
      </c>
      <c r="E66" s="197">
        <v>703</v>
      </c>
      <c r="F66" s="197">
        <v>724</v>
      </c>
      <c r="G66" s="197">
        <v>195</v>
      </c>
      <c r="H66" s="197"/>
      <c r="I66" s="197">
        <v>724</v>
      </c>
      <c r="J66" s="197"/>
      <c r="K66" s="197">
        <v>628</v>
      </c>
      <c r="L66" s="197"/>
      <c r="M66" s="197">
        <v>628</v>
      </c>
      <c r="N66" s="197"/>
      <c r="O66" s="197"/>
      <c r="P66" s="197"/>
    </row>
    <row r="67" spans="1:16" x14ac:dyDescent="0.25">
      <c r="A67" s="169" t="s">
        <v>13</v>
      </c>
      <c r="B67" s="197"/>
      <c r="C67" s="197"/>
      <c r="D67" s="197">
        <v>60</v>
      </c>
      <c r="E67" s="197"/>
      <c r="F67" s="197">
        <v>2084</v>
      </c>
      <c r="G67" s="197"/>
      <c r="H67" s="197"/>
      <c r="I67" s="197"/>
      <c r="J67" s="197"/>
      <c r="K67" s="197"/>
      <c r="L67" s="197"/>
      <c r="M67" s="197"/>
      <c r="N67" s="197"/>
      <c r="O67" s="197"/>
      <c r="P67" s="197"/>
    </row>
    <row r="68" spans="1:16"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x14ac:dyDescent="0.25">
      <c r="A69" s="946" t="s">
        <v>988</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x14ac:dyDescent="0.25">
      <c r="A70" s="946">
        <v>2017</v>
      </c>
      <c r="B70" s="197"/>
      <c r="C70" s="197"/>
      <c r="D70" s="197"/>
      <c r="E70" s="197"/>
      <c r="F70" s="197"/>
      <c r="G70" s="197"/>
      <c r="H70" s="197"/>
      <c r="I70" s="197"/>
      <c r="J70" s="197"/>
      <c r="K70" s="197"/>
      <c r="L70" s="197"/>
      <c r="M70" s="197"/>
      <c r="N70" s="197"/>
      <c r="O70" s="197"/>
      <c r="P70" s="197"/>
    </row>
    <row r="71" spans="1:16" x14ac:dyDescent="0.25">
      <c r="A71" s="169" t="s">
        <v>14</v>
      </c>
      <c r="B71" s="197"/>
      <c r="C71" s="197">
        <v>182</v>
      </c>
      <c r="D71" s="197">
        <v>182</v>
      </c>
      <c r="E71" s="197">
        <v>182</v>
      </c>
      <c r="F71" s="197">
        <v>91</v>
      </c>
      <c r="G71" s="197"/>
      <c r="H71" s="197"/>
      <c r="I71" s="197">
        <v>91</v>
      </c>
      <c r="J71" s="197">
        <v>455</v>
      </c>
      <c r="K71" s="197"/>
      <c r="L71" s="197"/>
      <c r="M71" s="197"/>
      <c r="N71" s="197"/>
      <c r="O71" s="197"/>
      <c r="P71" s="197"/>
    </row>
    <row r="72" spans="1:16" x14ac:dyDescent="0.25">
      <c r="A72" s="169" t="s">
        <v>814</v>
      </c>
      <c r="B72" s="197">
        <v>1325</v>
      </c>
      <c r="C72" s="197">
        <v>690</v>
      </c>
      <c r="D72" s="197"/>
      <c r="E72" s="197"/>
      <c r="F72" s="197"/>
      <c r="G72" s="197"/>
      <c r="H72" s="197"/>
      <c r="I72" s="197"/>
      <c r="J72" s="197"/>
      <c r="K72" s="197"/>
      <c r="L72" s="197"/>
      <c r="M72" s="197"/>
      <c r="N72" s="197"/>
      <c r="O72" s="197"/>
      <c r="P72" s="197"/>
    </row>
    <row r="73" spans="1:16"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x14ac:dyDescent="0.25">
      <c r="A74" s="169" t="s">
        <v>15</v>
      </c>
      <c r="B74" s="197"/>
      <c r="C74" s="197"/>
      <c r="D74" s="197">
        <v>502</v>
      </c>
      <c r="E74" s="197">
        <v>1384</v>
      </c>
      <c r="F74" s="197"/>
      <c r="G74" s="197"/>
      <c r="H74" s="197"/>
      <c r="I74" s="197"/>
      <c r="J74" s="197"/>
      <c r="K74" s="197"/>
      <c r="L74" s="197"/>
      <c r="M74" s="197"/>
      <c r="N74" s="197"/>
      <c r="O74" s="197">
        <v>270</v>
      </c>
      <c r="P74" s="197"/>
    </row>
    <row r="75" spans="1:16"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x14ac:dyDescent="0.25">
      <c r="A76" s="946" t="s">
        <v>1031</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x14ac:dyDescent="0.25">
      <c r="A77" s="946">
        <v>2018</v>
      </c>
      <c r="B77" s="197"/>
      <c r="C77" s="197"/>
      <c r="D77" s="197"/>
      <c r="E77" s="197"/>
      <c r="F77" s="197"/>
      <c r="G77" s="197"/>
      <c r="H77" s="197"/>
      <c r="I77" s="197"/>
      <c r="J77" s="197"/>
      <c r="K77" s="197"/>
      <c r="L77" s="197"/>
      <c r="M77" s="197"/>
      <c r="N77" s="197"/>
      <c r="O77" s="197"/>
      <c r="P77" s="197"/>
    </row>
    <row r="78" spans="1:16" x14ac:dyDescent="0.25">
      <c r="A78" s="169" t="s">
        <v>814</v>
      </c>
      <c r="B78" s="197"/>
      <c r="C78" s="197"/>
      <c r="D78" s="197">
        <v>1440</v>
      </c>
      <c r="E78" s="197"/>
      <c r="F78" s="197"/>
      <c r="G78" s="197"/>
      <c r="H78" s="197"/>
      <c r="I78" s="197"/>
      <c r="J78" s="197"/>
      <c r="K78" s="197"/>
      <c r="L78" s="197"/>
      <c r="M78" s="197"/>
      <c r="N78" s="197"/>
      <c r="O78" s="197"/>
      <c r="P78" s="197"/>
    </row>
    <row r="79" spans="1:16" x14ac:dyDescent="0.25">
      <c r="A79" s="169" t="s">
        <v>13</v>
      </c>
      <c r="B79" s="197"/>
      <c r="C79" s="197">
        <v>7597</v>
      </c>
      <c r="D79" s="197">
        <v>1249</v>
      </c>
      <c r="E79" s="197">
        <v>7555</v>
      </c>
      <c r="F79" s="197">
        <v>3153</v>
      </c>
      <c r="G79" s="197"/>
      <c r="H79" s="197"/>
      <c r="I79" s="197"/>
      <c r="J79" s="197">
        <v>15807</v>
      </c>
      <c r="K79" s="197">
        <v>211</v>
      </c>
      <c r="L79" s="197">
        <v>63</v>
      </c>
      <c r="M79" s="197"/>
      <c r="N79" s="197">
        <v>36</v>
      </c>
      <c r="O79" s="197">
        <v>1440</v>
      </c>
      <c r="P79" s="197"/>
    </row>
    <row r="80" spans="1:16" x14ac:dyDescent="0.25">
      <c r="A80" s="169" t="s">
        <v>17</v>
      </c>
      <c r="B80" s="197"/>
      <c r="C80" s="197">
        <v>10803</v>
      </c>
      <c r="D80" s="197">
        <v>6204</v>
      </c>
      <c r="E80" s="197">
        <v>7851</v>
      </c>
      <c r="F80" s="197">
        <v>6221</v>
      </c>
      <c r="G80" s="197">
        <v>2184</v>
      </c>
      <c r="H80" s="197"/>
      <c r="I80" s="197"/>
      <c r="J80" s="197">
        <v>19503</v>
      </c>
      <c r="K80" s="197">
        <v>641</v>
      </c>
      <c r="L80" s="197">
        <v>1374</v>
      </c>
      <c r="M80" s="197"/>
      <c r="N80" s="197">
        <v>667</v>
      </c>
      <c r="O80" s="197">
        <v>21227</v>
      </c>
      <c r="P80" s="197">
        <v>264</v>
      </c>
    </row>
    <row r="81" spans="1:16" x14ac:dyDescent="0.25">
      <c r="A81" s="946" t="s">
        <v>1126</v>
      </c>
      <c r="B81" s="197"/>
      <c r="C81" s="197">
        <v>18400</v>
      </c>
      <c r="D81" s="197">
        <v>8893</v>
      </c>
      <c r="E81" s="197">
        <v>15406</v>
      </c>
      <c r="F81" s="197">
        <v>9374</v>
      </c>
      <c r="G81" s="197">
        <v>2184</v>
      </c>
      <c r="H81" s="197"/>
      <c r="I81" s="197"/>
      <c r="J81" s="197">
        <v>35310</v>
      </c>
      <c r="K81" s="197">
        <v>852</v>
      </c>
      <c r="L81" s="197">
        <v>1437</v>
      </c>
      <c r="M81" s="197"/>
      <c r="N81" s="197">
        <v>703</v>
      </c>
      <c r="O81" s="197">
        <v>22667</v>
      </c>
      <c r="P81" s="197">
        <v>264</v>
      </c>
    </row>
    <row r="82" spans="1:16" x14ac:dyDescent="0.25">
      <c r="A82" s="946" t="s">
        <v>204</v>
      </c>
      <c r="B82" s="197">
        <v>55519</v>
      </c>
      <c r="C82" s="197">
        <v>106052</v>
      </c>
      <c r="D82" s="197">
        <v>68811</v>
      </c>
      <c r="E82" s="197">
        <v>98608</v>
      </c>
      <c r="F82" s="197">
        <v>48076</v>
      </c>
      <c r="G82" s="197">
        <v>22940</v>
      </c>
      <c r="H82" s="197">
        <v>36804</v>
      </c>
      <c r="I82" s="197">
        <v>21166</v>
      </c>
      <c r="J82" s="197">
        <v>175971</v>
      </c>
      <c r="K82" s="197">
        <v>17637</v>
      </c>
      <c r="L82" s="197">
        <v>11454</v>
      </c>
      <c r="M82" s="197">
        <v>628</v>
      </c>
      <c r="N82" s="197">
        <v>1092</v>
      </c>
      <c r="O82" s="197">
        <v>53237</v>
      </c>
      <c r="P82"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C8" sqref="C8"/>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757</v>
      </c>
      <c r="W1" s="78"/>
      <c r="X1" s="78" t="s">
        <v>766</v>
      </c>
      <c r="Z1" s="41" t="s">
        <v>749</v>
      </c>
      <c r="AA1" s="41" t="s">
        <v>191</v>
      </c>
      <c r="AB1" s="41" t="s">
        <v>747</v>
      </c>
      <c r="AE1" s="41" t="s">
        <v>782</v>
      </c>
      <c r="AF1" s="41" t="s">
        <v>679</v>
      </c>
      <c r="AG1" s="41" t="s">
        <v>783</v>
      </c>
      <c r="AH1" s="41" t="s">
        <v>784</v>
      </c>
    </row>
    <row r="2" spans="1:35" ht="16.5" customHeight="1" x14ac:dyDescent="0.25">
      <c r="A2" t="s">
        <v>218</v>
      </c>
      <c r="B2" t="s">
        <v>302</v>
      </c>
      <c r="C2" t="s">
        <v>292</v>
      </c>
      <c r="D2" t="s">
        <v>295</v>
      </c>
      <c r="E2">
        <v>12</v>
      </c>
      <c r="F2">
        <v>2</v>
      </c>
      <c r="J2" s="47" t="s">
        <v>7</v>
      </c>
      <c r="K2" s="47"/>
      <c r="L2" s="47" t="s">
        <v>561</v>
      </c>
      <c r="M2" s="47"/>
      <c r="N2" s="47" t="s">
        <v>19</v>
      </c>
      <c r="O2" s="47"/>
      <c r="P2" s="47" t="s">
        <v>326</v>
      </c>
      <c r="R2" t="s">
        <v>1038</v>
      </c>
      <c r="T2" t="s">
        <v>1004</v>
      </c>
      <c r="V2" t="s">
        <v>705</v>
      </c>
      <c r="X2" s="78" t="s">
        <v>767</v>
      </c>
      <c r="Z2" s="249" t="s">
        <v>722</v>
      </c>
      <c r="AA2" s="249"/>
      <c r="AB2" s="249"/>
      <c r="AE2" t="s">
        <v>785</v>
      </c>
      <c r="AF2" s="265" t="s">
        <v>807</v>
      </c>
      <c r="AG2" s="91">
        <v>0</v>
      </c>
      <c r="AH2">
        <v>0.5</v>
      </c>
    </row>
    <row r="3" spans="1:35" ht="16.5" customHeight="1" x14ac:dyDescent="0.25">
      <c r="A3" t="s">
        <v>310</v>
      </c>
      <c r="B3" t="s">
        <v>311</v>
      </c>
      <c r="C3" t="s">
        <v>312</v>
      </c>
      <c r="D3" t="s">
        <v>313</v>
      </c>
      <c r="E3" s="78">
        <v>12</v>
      </c>
      <c r="F3">
        <v>1</v>
      </c>
      <c r="J3" s="3"/>
      <c r="K3" s="3"/>
      <c r="L3" s="47" t="s">
        <v>14</v>
      </c>
      <c r="M3" s="47"/>
      <c r="N3" s="47" t="s">
        <v>756</v>
      </c>
      <c r="O3" s="47"/>
      <c r="P3" s="47" t="s">
        <v>327</v>
      </c>
      <c r="R3" t="s">
        <v>828</v>
      </c>
      <c r="T3" t="s">
        <v>1007</v>
      </c>
      <c r="V3" t="s">
        <v>765</v>
      </c>
      <c r="X3" s="78" t="s">
        <v>768</v>
      </c>
      <c r="Z3" s="247" t="s">
        <v>273</v>
      </c>
      <c r="AA3" s="247" t="s">
        <v>611</v>
      </c>
      <c r="AB3" s="248" t="s">
        <v>1150</v>
      </c>
      <c r="AE3" s="78" t="s">
        <v>786</v>
      </c>
      <c r="AF3" s="265" t="s">
        <v>808</v>
      </c>
      <c r="AG3">
        <v>0.5</v>
      </c>
      <c r="AH3">
        <v>1</v>
      </c>
    </row>
    <row r="4" spans="1:35" ht="16.5" customHeight="1" x14ac:dyDescent="0.25">
      <c r="A4" t="s">
        <v>284</v>
      </c>
      <c r="B4" t="s">
        <v>303</v>
      </c>
      <c r="C4" t="s">
        <v>288</v>
      </c>
      <c r="D4" t="s">
        <v>298</v>
      </c>
      <c r="E4" s="78">
        <v>12</v>
      </c>
      <c r="F4">
        <v>1</v>
      </c>
      <c r="J4" s="47"/>
      <c r="K4" s="47"/>
      <c r="L4" s="47" t="s">
        <v>18</v>
      </c>
      <c r="M4" s="47"/>
      <c r="N4" s="47" t="s">
        <v>920</v>
      </c>
      <c r="O4" s="47"/>
      <c r="P4" s="47" t="s">
        <v>325</v>
      </c>
      <c r="R4" t="s">
        <v>607</v>
      </c>
      <c r="T4" t="s">
        <v>1006</v>
      </c>
      <c r="V4" t="s">
        <v>760</v>
      </c>
      <c r="X4" s="78" t="s">
        <v>769</v>
      </c>
      <c r="Z4" s="247" t="s">
        <v>575</v>
      </c>
      <c r="AA4" s="247" t="s">
        <v>748</v>
      </c>
      <c r="AB4" s="248" t="s">
        <v>812</v>
      </c>
      <c r="AE4" s="78" t="s">
        <v>787</v>
      </c>
      <c r="AF4" s="265" t="s">
        <v>798</v>
      </c>
      <c r="AG4">
        <v>1</v>
      </c>
      <c r="AH4">
        <v>2</v>
      </c>
    </row>
    <row r="5" spans="1:35" ht="16.5" customHeight="1" x14ac:dyDescent="0.25">
      <c r="A5" t="s">
        <v>219</v>
      </c>
      <c r="B5" t="s">
        <v>304</v>
      </c>
      <c r="C5" t="s">
        <v>293</v>
      </c>
      <c r="D5" t="s">
        <v>296</v>
      </c>
      <c r="E5" s="78">
        <v>12</v>
      </c>
      <c r="F5">
        <v>1</v>
      </c>
      <c r="J5" s="3"/>
      <c r="K5" s="3"/>
      <c r="L5" s="47" t="s">
        <v>814</v>
      </c>
      <c r="M5" s="47"/>
      <c r="N5" s="47" t="s">
        <v>20</v>
      </c>
      <c r="O5" s="47"/>
      <c r="P5" s="47"/>
      <c r="R5" t="s">
        <v>829</v>
      </c>
      <c r="T5" t="s">
        <v>1009</v>
      </c>
      <c r="V5" t="s">
        <v>762</v>
      </c>
      <c r="X5" s="78" t="s">
        <v>770</v>
      </c>
      <c r="Z5" s="247" t="s">
        <v>658</v>
      </c>
      <c r="AA5" s="247" t="s">
        <v>610</v>
      </c>
      <c r="AB5" s="532" t="s">
        <v>1046</v>
      </c>
      <c r="AE5" s="78" t="s">
        <v>788</v>
      </c>
      <c r="AF5" s="265" t="s">
        <v>797</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830</v>
      </c>
      <c r="T6" s="645" t="s">
        <v>1143</v>
      </c>
      <c r="V6" t="s">
        <v>761</v>
      </c>
      <c r="X6" s="78" t="s">
        <v>781</v>
      </c>
      <c r="Z6" s="247" t="s">
        <v>904</v>
      </c>
      <c r="AA6" s="247" t="s">
        <v>905</v>
      </c>
      <c r="AB6" s="532" t="s">
        <v>1157</v>
      </c>
      <c r="AE6" s="78" t="s">
        <v>789</v>
      </c>
      <c r="AF6" s="265" t="s">
        <v>799</v>
      </c>
      <c r="AG6">
        <v>3</v>
      </c>
      <c r="AH6">
        <v>5</v>
      </c>
    </row>
    <row r="7" spans="1:35" ht="16.5" customHeight="1" x14ac:dyDescent="0.25">
      <c r="A7" t="s">
        <v>193</v>
      </c>
      <c r="B7" t="s">
        <v>306</v>
      </c>
      <c r="C7" t="s">
        <v>289</v>
      </c>
      <c r="D7" t="s">
        <v>299</v>
      </c>
      <c r="E7" s="78">
        <v>12</v>
      </c>
      <c r="F7">
        <v>1</v>
      </c>
      <c r="J7" s="47"/>
      <c r="K7" s="47"/>
      <c r="L7" s="47" t="s">
        <v>932</v>
      </c>
      <c r="M7" s="47"/>
      <c r="N7" s="47"/>
      <c r="O7" s="47"/>
      <c r="P7" s="47"/>
      <c r="R7" t="s">
        <v>806</v>
      </c>
      <c r="T7" s="645" t="s">
        <v>1010</v>
      </c>
      <c r="V7" t="s">
        <v>763</v>
      </c>
      <c r="X7" s="78" t="s">
        <v>771</v>
      </c>
      <c r="Z7" s="247" t="s">
        <v>270</v>
      </c>
      <c r="AA7" s="247" t="s">
        <v>750</v>
      </c>
      <c r="AB7" s="248" t="s">
        <v>1134</v>
      </c>
      <c r="AE7" s="78" t="s">
        <v>790</v>
      </c>
      <c r="AF7" s="265" t="s">
        <v>800</v>
      </c>
      <c r="AG7">
        <v>5</v>
      </c>
      <c r="AH7">
        <v>11</v>
      </c>
    </row>
    <row r="8" spans="1:35" ht="16.5" customHeight="1" x14ac:dyDescent="0.25">
      <c r="A8" t="s">
        <v>535</v>
      </c>
      <c r="B8" t="s">
        <v>537</v>
      </c>
      <c r="C8" t="s">
        <v>539</v>
      </c>
      <c r="D8" t="s">
        <v>541</v>
      </c>
      <c r="E8" s="78">
        <v>12</v>
      </c>
      <c r="F8">
        <v>1</v>
      </c>
      <c r="J8" s="47"/>
      <c r="K8" s="47"/>
      <c r="L8" s="47" t="s">
        <v>13</v>
      </c>
      <c r="M8" s="47"/>
      <c r="N8" s="47"/>
      <c r="O8" s="47"/>
      <c r="P8" s="47"/>
      <c r="T8" s="645" t="s">
        <v>774</v>
      </c>
      <c r="V8" t="s">
        <v>759</v>
      </c>
      <c r="X8" s="78" t="s">
        <v>772</v>
      </c>
      <c r="AE8" s="78" t="s">
        <v>791</v>
      </c>
      <c r="AF8" s="265" t="s">
        <v>801</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1003</v>
      </c>
      <c r="V9" t="s">
        <v>758</v>
      </c>
      <c r="X9" s="78" t="s">
        <v>773</v>
      </c>
      <c r="AE9" s="78" t="s">
        <v>792</v>
      </c>
      <c r="AF9" s="265" t="s">
        <v>802</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1005</v>
      </c>
      <c r="V10" t="s">
        <v>764</v>
      </c>
      <c r="X10" s="78" t="s">
        <v>774</v>
      </c>
      <c r="AE10" s="78" t="s">
        <v>793</v>
      </c>
      <c r="AF10" s="265" t="s">
        <v>803</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775</v>
      </c>
      <c r="AE11" s="78" t="s">
        <v>794</v>
      </c>
      <c r="AF11" s="265" t="s">
        <v>804</v>
      </c>
      <c r="AG11">
        <v>24</v>
      </c>
      <c r="AH11">
        <v>49</v>
      </c>
    </row>
    <row r="12" spans="1:35" ht="16.5" customHeight="1" x14ac:dyDescent="0.25">
      <c r="A12" s="78" t="s">
        <v>862</v>
      </c>
      <c r="B12" s="78" t="s">
        <v>866</v>
      </c>
      <c r="C12" s="78" t="s">
        <v>867</v>
      </c>
      <c r="D12" s="78" t="s">
        <v>868</v>
      </c>
      <c r="E12" s="78">
        <v>12</v>
      </c>
      <c r="F12" s="78">
        <v>1</v>
      </c>
      <c r="X12" s="78" t="s">
        <v>776</v>
      </c>
      <c r="AE12" s="78" t="s">
        <v>795</v>
      </c>
      <c r="AF12" s="265" t="s">
        <v>805</v>
      </c>
      <c r="AG12">
        <v>49</v>
      </c>
      <c r="AH12">
        <v>60</v>
      </c>
    </row>
    <row r="13" spans="1:35" ht="16.5" customHeight="1" x14ac:dyDescent="0.25">
      <c r="A13" t="s">
        <v>1013</v>
      </c>
      <c r="B13" t="s">
        <v>1021</v>
      </c>
      <c r="E13" s="645">
        <v>12</v>
      </c>
      <c r="F13" s="645">
        <v>1</v>
      </c>
      <c r="X13" s="78" t="s">
        <v>777</v>
      </c>
      <c r="AE13" s="78" t="s">
        <v>796</v>
      </c>
      <c r="AF13" s="265" t="s">
        <v>806</v>
      </c>
      <c r="AG13">
        <v>60</v>
      </c>
    </row>
    <row r="14" spans="1:35" ht="16.5" customHeight="1" x14ac:dyDescent="0.25">
      <c r="A14" t="s">
        <v>1014</v>
      </c>
      <c r="B14" t="s">
        <v>1022</v>
      </c>
      <c r="E14" s="645">
        <v>12</v>
      </c>
      <c r="F14" s="645">
        <v>1</v>
      </c>
      <c r="X14" s="78" t="s">
        <v>780</v>
      </c>
      <c r="AE14" s="78"/>
      <c r="AF14" s="78"/>
      <c r="AG14" s="78"/>
      <c r="AH14" s="78"/>
      <c r="AI14" s="78"/>
    </row>
    <row r="15" spans="1:35" ht="16.5" customHeight="1" x14ac:dyDescent="0.25">
      <c r="A15" t="s">
        <v>1015</v>
      </c>
      <c r="B15" t="s">
        <v>1023</v>
      </c>
      <c r="E15" s="645">
        <v>12</v>
      </c>
      <c r="F15" s="645">
        <v>1</v>
      </c>
      <c r="X15" s="78" t="s">
        <v>778</v>
      </c>
    </row>
    <row r="16" spans="1:35" ht="16.5" customHeight="1" x14ac:dyDescent="0.25">
      <c r="A16" t="s">
        <v>1040</v>
      </c>
      <c r="B16" s="645" t="s">
        <v>1041</v>
      </c>
      <c r="E16" s="645">
        <v>12</v>
      </c>
      <c r="F16" s="645">
        <v>1</v>
      </c>
    </row>
    <row r="17" spans="1:24" ht="16.5" customHeight="1" x14ac:dyDescent="0.25">
      <c r="A17" t="s">
        <v>1146</v>
      </c>
      <c r="B17" t="s">
        <v>1149</v>
      </c>
      <c r="E17">
        <v>12</v>
      </c>
      <c r="F17" s="645">
        <v>1</v>
      </c>
      <c r="X17" s="78" t="s">
        <v>779</v>
      </c>
    </row>
    <row r="18" spans="1:24" s="645" customFormat="1" ht="16.5" customHeight="1" x14ac:dyDescent="0.25">
      <c r="T18"/>
    </row>
    <row r="19" spans="1:24" s="645" customFormat="1" ht="16.5" customHeight="1" x14ac:dyDescent="0.25"/>
    <row r="20" spans="1:24" s="645" customFormat="1" ht="16.5" customHeight="1" x14ac:dyDescent="0.25"/>
    <row r="21" spans="1:24" s="645" customFormat="1" ht="16.5" customHeight="1" x14ac:dyDescent="0.25"/>
    <row r="22" spans="1:24" ht="16.5" customHeight="1" x14ac:dyDescent="0.25">
      <c r="T22" s="645"/>
    </row>
    <row r="23" spans="1:24" ht="16.5" customHeight="1" x14ac:dyDescent="0.25">
      <c r="A23" s="63">
        <v>43434</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2" sqref="B32"/>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102" t="s">
        <v>721</v>
      </c>
      <c r="B2" s="1104" t="s">
        <v>1012</v>
      </c>
    </row>
    <row r="3" spans="1:2" ht="15.75" hidden="1" customHeight="1" thickBot="1" x14ac:dyDescent="0.3">
      <c r="A3" s="1103"/>
      <c r="B3" s="1105"/>
    </row>
    <row r="4" spans="1:2" ht="30.75" customHeight="1" x14ac:dyDescent="0.25">
      <c r="A4" s="1102" t="s">
        <v>725</v>
      </c>
      <c r="B4" s="1104" t="s">
        <v>729</v>
      </c>
    </row>
    <row r="5" spans="1:2" ht="45" customHeight="1" thickBot="1" x14ac:dyDescent="0.3">
      <c r="A5" s="1103"/>
      <c r="B5" s="1105"/>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3"/>
  <sheetViews>
    <sheetView showZeros="0" tabSelected="1" zoomScale="88" zoomScaleNormal="88" workbookViewId="0">
      <selection activeCell="J136" sqref="J136"/>
    </sheetView>
  </sheetViews>
  <sheetFormatPr defaultColWidth="9.140625" defaultRowHeight="15" x14ac:dyDescent="0.25"/>
  <cols>
    <col min="1" max="1" width="19.4257812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0" bestFit="1" customWidth="1"/>
    <col min="19" max="19" width="6.85546875" style="695"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87"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0.75" customHeight="1" x14ac:dyDescent="0.25">
      <c r="A1" s="472"/>
      <c r="B1" s="473"/>
      <c r="C1" s="473"/>
      <c r="D1" s="473"/>
      <c r="E1" s="473"/>
      <c r="F1" s="473"/>
      <c r="G1" s="473"/>
      <c r="H1" s="473"/>
      <c r="I1" s="473"/>
      <c r="J1" s="473"/>
      <c r="K1" s="473"/>
      <c r="L1" s="473"/>
      <c r="M1" s="473"/>
      <c r="N1" s="473"/>
      <c r="O1" s="473"/>
      <c r="P1" s="473"/>
      <c r="Q1" s="473"/>
      <c r="R1" s="474"/>
      <c r="S1" s="686"/>
      <c r="T1" s="473"/>
      <c r="U1" s="473"/>
      <c r="V1" s="473"/>
      <c r="W1" s="473"/>
      <c r="X1" s="473"/>
      <c r="Y1" s="473"/>
      <c r="Z1" s="473"/>
      <c r="AA1" s="473"/>
      <c r="AB1" s="473"/>
      <c r="AC1" s="473"/>
      <c r="AD1" s="474"/>
      <c r="AE1" s="473"/>
      <c r="AF1" s="473"/>
      <c r="AG1" s="473"/>
      <c r="AH1" s="473"/>
      <c r="AI1" s="475"/>
      <c r="AJ1" s="475"/>
      <c r="BJ1" s="58"/>
      <c r="BK1" s="58"/>
      <c r="BL1" s="16"/>
      <c r="BM1" s="16"/>
    </row>
    <row r="2" spans="1:68" ht="52.5" customHeight="1" x14ac:dyDescent="0.25">
      <c r="A2" s="476" t="s">
        <v>731</v>
      </c>
      <c r="B2" s="471"/>
      <c r="C2" s="471"/>
      <c r="D2" s="471"/>
      <c r="E2" s="471"/>
      <c r="F2" s="471"/>
      <c r="G2" s="471"/>
      <c r="H2" s="471"/>
      <c r="I2" s="471"/>
      <c r="J2" s="471"/>
      <c r="K2" s="471"/>
      <c r="L2" s="471"/>
      <c r="M2" s="471"/>
      <c r="N2" s="471"/>
      <c r="O2" s="471"/>
      <c r="P2" s="471"/>
      <c r="Q2" s="471"/>
      <c r="R2" s="459"/>
      <c r="S2" s="687"/>
      <c r="T2" s="471"/>
      <c r="U2" s="471"/>
      <c r="V2" s="471"/>
      <c r="W2" s="471"/>
      <c r="X2" s="471"/>
      <c r="Y2" s="471"/>
      <c r="Z2" s="471"/>
      <c r="AA2" s="471"/>
      <c r="AB2" s="471"/>
      <c r="AC2" s="604"/>
      <c r="AD2" s="459"/>
      <c r="AE2" s="471"/>
      <c r="AF2" s="471"/>
      <c r="AG2" s="570"/>
      <c r="AH2" s="471"/>
      <c r="AI2" s="477"/>
      <c r="AJ2" s="477"/>
      <c r="BH2" s="58"/>
      <c r="BI2" s="58"/>
      <c r="BL2" s="16"/>
      <c r="BM2" s="16"/>
    </row>
    <row r="3" spans="1:68" ht="0.75" customHeight="1" x14ac:dyDescent="0.25">
      <c r="A3" s="1106" t="s">
        <v>1133</v>
      </c>
      <c r="B3" s="1107"/>
      <c r="C3" s="478"/>
      <c r="D3" s="478"/>
      <c r="E3" s="478"/>
      <c r="F3" s="478"/>
      <c r="G3" s="478"/>
      <c r="H3" s="478"/>
      <c r="I3" s="478"/>
      <c r="J3" s="478"/>
      <c r="K3" s="478"/>
      <c r="L3" s="478"/>
      <c r="M3" s="478"/>
      <c r="N3" s="478"/>
      <c r="O3" s="478"/>
      <c r="P3" s="478"/>
      <c r="Q3" s="478"/>
      <c r="R3" s="479"/>
      <c r="S3" s="688"/>
      <c r="T3" s="478"/>
      <c r="U3" s="478"/>
      <c r="V3" s="478"/>
      <c r="W3" s="478"/>
      <c r="X3" s="478"/>
      <c r="Y3" s="478"/>
      <c r="Z3" s="478"/>
      <c r="AA3" s="478"/>
      <c r="AB3" s="478"/>
      <c r="AC3" s="478"/>
      <c r="AD3" s="479"/>
      <c r="AE3" s="478"/>
      <c r="AF3" s="478"/>
      <c r="AG3" s="478"/>
      <c r="AH3" s="478"/>
      <c r="AI3" s="480"/>
      <c r="AJ3" s="480"/>
      <c r="BH3" s="58"/>
      <c r="BI3" s="58"/>
      <c r="BL3" s="16"/>
      <c r="BM3" s="16"/>
    </row>
    <row r="4" spans="1:68" s="615" customFormat="1" ht="32.25" customHeight="1" x14ac:dyDescent="0.25">
      <c r="A4" s="607" t="s">
        <v>329</v>
      </c>
      <c r="B4" s="608" t="s">
        <v>10</v>
      </c>
      <c r="C4" s="608" t="s">
        <v>321</v>
      </c>
      <c r="D4" s="608" t="s">
        <v>489</v>
      </c>
      <c r="E4" s="608" t="s">
        <v>490</v>
      </c>
      <c r="F4" s="607" t="s">
        <v>0</v>
      </c>
      <c r="G4" s="608" t="s">
        <v>322</v>
      </c>
      <c r="H4" s="608" t="s">
        <v>486</v>
      </c>
      <c r="I4" s="608" t="s">
        <v>485</v>
      </c>
      <c r="J4" s="608" t="s">
        <v>487</v>
      </c>
      <c r="K4" s="608" t="s">
        <v>488</v>
      </c>
      <c r="L4" s="607" t="s">
        <v>9</v>
      </c>
      <c r="M4" s="607" t="s">
        <v>8</v>
      </c>
      <c r="N4" s="608" t="s">
        <v>2</v>
      </c>
      <c r="O4" s="608" t="s">
        <v>3</v>
      </c>
      <c r="P4" s="607" t="s">
        <v>601</v>
      </c>
      <c r="Q4" s="609" t="s">
        <v>4</v>
      </c>
      <c r="R4" s="610" t="s">
        <v>5</v>
      </c>
      <c r="S4" s="689" t="s">
        <v>320</v>
      </c>
      <c r="T4" s="607" t="s">
        <v>755</v>
      </c>
      <c r="U4" s="607" t="s">
        <v>704</v>
      </c>
      <c r="V4" s="607" t="s">
        <v>22</v>
      </c>
      <c r="W4" s="607" t="s">
        <v>809</v>
      </c>
      <c r="X4" s="607" t="s">
        <v>602</v>
      </c>
      <c r="Y4" s="607" t="s">
        <v>706</v>
      </c>
      <c r="Z4" s="611" t="s">
        <v>707</v>
      </c>
      <c r="AA4" s="611" t="s">
        <v>711</v>
      </c>
      <c r="AB4" s="611" t="s">
        <v>942</v>
      </c>
      <c r="AC4" s="607" t="s">
        <v>615</v>
      </c>
      <c r="AD4" s="612" t="s">
        <v>614</v>
      </c>
      <c r="AE4" s="607" t="s">
        <v>323</v>
      </c>
      <c r="AF4" s="607" t="s">
        <v>324</v>
      </c>
      <c r="AG4" s="613" t="s">
        <v>333</v>
      </c>
      <c r="AH4" s="612" t="s">
        <v>328</v>
      </c>
      <c r="AI4" s="607" t="s">
        <v>747</v>
      </c>
      <c r="AJ4" s="614" t="s">
        <v>753</v>
      </c>
      <c r="BO4" s="616"/>
      <c r="BP4" s="616"/>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79">
        <v>1249</v>
      </c>
      <c r="R5" s="678">
        <v>4726</v>
      </c>
      <c r="S5" s="690">
        <v>3.7019064124783361</v>
      </c>
      <c r="T5" s="522" t="s">
        <v>326</v>
      </c>
      <c r="U5" s="522" t="s">
        <v>705</v>
      </c>
      <c r="V5" s="522" t="s">
        <v>20</v>
      </c>
      <c r="W5" s="318"/>
      <c r="X5" s="316"/>
      <c r="Y5" s="316"/>
      <c r="Z5" s="316" t="s">
        <v>608</v>
      </c>
      <c r="AA5" s="316" t="str">
        <f>CONCATENATE(Camp_List[[#This Row],[Ethnicity]],"-",Camp_List[[#This Row],[Religion]])</f>
        <v>-Muslim</v>
      </c>
      <c r="AB5" s="253" t="s">
        <v>943</v>
      </c>
      <c r="AC5" s="316" t="s">
        <v>612</v>
      </c>
      <c r="AD5" s="582" t="s">
        <v>575</v>
      </c>
      <c r="AE5" s="316" t="s">
        <v>826</v>
      </c>
      <c r="AF5" s="316" t="s">
        <v>827</v>
      </c>
      <c r="AG5" s="254">
        <v>43373</v>
      </c>
      <c r="AH5" s="528"/>
      <c r="AI5" s="64" t="str">
        <f>IFERROR(VLOOKUP(Camp_List[[#This Row],[Responsible Agency]],Organization_t[],3,0),"")</f>
        <v>Yadu Shresk
Emergency Project Coordinator
campro.mmr@lwfdws.org</v>
      </c>
      <c r="AJ5" s="470">
        <f ca="1">IF((SUMIFS(Data_Shelter_t[Coverage],Data_Shelter_t[Pcode],Camp_List[[#This Row],[P_Code]]))&gt;1,1,SUMIFS(Data_Shelter_t[Coverage],Data_Shelter_t[Pcode],Camp_List[[#This Row],[P_Code]]))</f>
        <v>0.61489191353082462</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952</v>
      </c>
      <c r="K6" s="316" t="s">
        <v>953</v>
      </c>
      <c r="L6" s="316" t="s">
        <v>59</v>
      </c>
      <c r="M6" s="316" t="s">
        <v>145</v>
      </c>
      <c r="N6" s="64">
        <v>92.875814000000005</v>
      </c>
      <c r="O6" s="64">
        <v>20.128488999999998</v>
      </c>
      <c r="P6" s="316"/>
      <c r="Q6" s="679">
        <v>396</v>
      </c>
      <c r="R6" s="678">
        <v>2267</v>
      </c>
      <c r="S6" s="690">
        <v>5.1612090680100753</v>
      </c>
      <c r="T6" s="522" t="s">
        <v>326</v>
      </c>
      <c r="U6" s="522" t="s">
        <v>705</v>
      </c>
      <c r="V6" s="522" t="s">
        <v>20</v>
      </c>
      <c r="W6" s="316"/>
      <c r="X6" s="316"/>
      <c r="Y6" s="316"/>
      <c r="Z6" s="316" t="s">
        <v>608</v>
      </c>
      <c r="AA6" s="316" t="str">
        <f>CONCATENATE(Camp_List[[#This Row],[Ethnicity]],"-",Camp_List[[#This Row],[Religion]])</f>
        <v>-Muslim</v>
      </c>
      <c r="AB6" s="316" t="s">
        <v>943</v>
      </c>
      <c r="AC6" s="316" t="s">
        <v>612</v>
      </c>
      <c r="AD6" s="582" t="s">
        <v>575</v>
      </c>
      <c r="AE6" s="316" t="s">
        <v>826</v>
      </c>
      <c r="AF6" s="316" t="s">
        <v>827</v>
      </c>
      <c r="AG6" s="254">
        <v>43373</v>
      </c>
      <c r="AH6" s="528"/>
      <c r="AI6" s="64" t="str">
        <f>IFERROR(VLOOKUP(Camp_List[[#This Row],[Responsible Agency]],Organization_t[],3,0),"")</f>
        <v>Yadu Shresk
Emergency Project Coordinator
campro.mmr@lwfdws.org</v>
      </c>
      <c r="AJ6" s="47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79">
        <v>41</v>
      </c>
      <c r="R7" s="678">
        <v>226</v>
      </c>
      <c r="S7" s="690">
        <v>5.5121951219512191</v>
      </c>
      <c r="T7" s="522" t="s">
        <v>326</v>
      </c>
      <c r="U7" s="522" t="s">
        <v>705</v>
      </c>
      <c r="V7" s="522" t="s">
        <v>756</v>
      </c>
      <c r="W7" s="316"/>
      <c r="X7" s="316"/>
      <c r="Y7" s="316"/>
      <c r="Z7" s="316" t="s">
        <v>608</v>
      </c>
      <c r="AA7" s="316" t="str">
        <f>CONCATENATE(Camp_List[[#This Row],[Ethnicity]],"-",Camp_List[[#This Row],[Religion]])</f>
        <v>-Muslim</v>
      </c>
      <c r="AB7" s="316" t="s">
        <v>943</v>
      </c>
      <c r="AC7" s="316" t="s">
        <v>613</v>
      </c>
      <c r="AD7" s="582" t="s">
        <v>270</v>
      </c>
      <c r="AE7" s="316" t="s">
        <v>462</v>
      </c>
      <c r="AF7" s="316" t="s">
        <v>477</v>
      </c>
      <c r="AG7" s="254">
        <v>43312</v>
      </c>
      <c r="AH7" s="316"/>
      <c r="AI7" s="64" t="str">
        <f>IFERROR(VLOOKUP(Camp_List[[#This Row],[Responsible Agency]],Organization_t[],3,0),"")</f>
        <v>Richard Tracey, CCCM/NFI/Shelter Cluster Coordinator, tracey@unhcr.org,09448027896</v>
      </c>
      <c r="AJ7" s="47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79">
        <v>1013</v>
      </c>
      <c r="R8" s="678">
        <v>4757</v>
      </c>
      <c r="S8" s="690">
        <v>4.8655967903711135</v>
      </c>
      <c r="T8" s="522" t="s">
        <v>326</v>
      </c>
      <c r="U8" s="522" t="s">
        <v>705</v>
      </c>
      <c r="V8" s="522" t="s">
        <v>20</v>
      </c>
      <c r="W8" s="316"/>
      <c r="X8" s="316"/>
      <c r="Y8" s="316"/>
      <c r="Z8" s="316" t="s">
        <v>608</v>
      </c>
      <c r="AA8" s="316" t="str">
        <f>CONCATENATE(Camp_List[[#This Row],[Ethnicity]],"-",Camp_List[[#This Row],[Religion]])</f>
        <v>-Muslim</v>
      </c>
      <c r="AB8" s="316" t="s">
        <v>943</v>
      </c>
      <c r="AC8" s="316" t="s">
        <v>612</v>
      </c>
      <c r="AD8" s="582" t="s">
        <v>273</v>
      </c>
      <c r="AE8" s="316" t="s">
        <v>826</v>
      </c>
      <c r="AF8" s="316" t="s">
        <v>827</v>
      </c>
      <c r="AG8" s="254">
        <v>43404</v>
      </c>
      <c r="AH8" s="528"/>
      <c r="AI8" s="64" t="str">
        <f>IFERROR(VLOOKUP(Camp_List[[#This Row],[Responsible Agency]],Organization_t[],3,0),"")</f>
        <v xml:space="preserve">Benjamin Conner
benjamin.conner@drcmm.org
</v>
      </c>
      <c r="AJ8" s="470">
        <f ca="1">IF((SUMIFS(Data_Shelter_t[Coverage],Data_Shelter_t[Pcode],Camp_List[[#This Row],[P_Code]]))&gt;1,1,SUMIFS(Data_Shelter_t[Coverage],Data_Shelter_t[Pcode],Camp_List[[#This Row],[P_Code]]))</f>
        <v>1</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949</v>
      </c>
      <c r="K9" s="316" t="s">
        <v>948</v>
      </c>
      <c r="L9" s="316" t="s">
        <v>57</v>
      </c>
      <c r="M9" s="316" t="s">
        <v>143</v>
      </c>
      <c r="N9" s="64">
        <v>93.857592999999994</v>
      </c>
      <c r="O9" s="64">
        <v>19.088283000000001</v>
      </c>
      <c r="P9" s="316"/>
      <c r="Q9" s="679"/>
      <c r="R9" s="678"/>
      <c r="S9" s="690"/>
      <c r="T9" s="522" t="s">
        <v>326</v>
      </c>
      <c r="U9" s="522" t="s">
        <v>705</v>
      </c>
      <c r="V9" s="522" t="s">
        <v>20</v>
      </c>
      <c r="W9" s="316"/>
      <c r="X9" s="316"/>
      <c r="Y9" s="316"/>
      <c r="Z9" s="316"/>
      <c r="AA9" s="316"/>
      <c r="AB9" s="253"/>
      <c r="AC9" s="316"/>
      <c r="AD9" s="583"/>
      <c r="AE9" s="316" t="s">
        <v>462</v>
      </c>
      <c r="AF9" s="316" t="s">
        <v>477</v>
      </c>
      <c r="AG9" s="254">
        <v>42893</v>
      </c>
      <c r="AH9" s="526" t="s">
        <v>1052</v>
      </c>
      <c r="AI9" s="64" t="str">
        <f>IFERROR(VLOOKUP(Camp_List[[#This Row],[Responsible Agency]],Organization_t[],3,0),"")</f>
        <v/>
      </c>
      <c r="AJ9" s="47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24">
        <v>1334</v>
      </c>
      <c r="R10" s="678">
        <v>6611</v>
      </c>
      <c r="S10" s="691">
        <v>5.3330763299922896</v>
      </c>
      <c r="T10" s="522" t="s">
        <v>326</v>
      </c>
      <c r="U10" s="522" t="s">
        <v>705</v>
      </c>
      <c r="V10" s="522" t="s">
        <v>20</v>
      </c>
      <c r="W10" s="316"/>
      <c r="X10" s="316"/>
      <c r="Y10" s="316"/>
      <c r="Z10" s="316" t="s">
        <v>608</v>
      </c>
      <c r="AA10" s="316" t="str">
        <f>CONCATENATE(Camp_List[[#This Row],[Ethnicity]],"-",Camp_List[[#This Row],[Religion]])</f>
        <v>-Muslim</v>
      </c>
      <c r="AB10" s="316" t="s">
        <v>943</v>
      </c>
      <c r="AC10" s="316" t="s">
        <v>612</v>
      </c>
      <c r="AD10" s="582" t="s">
        <v>273</v>
      </c>
      <c r="AE10" s="316" t="s">
        <v>826</v>
      </c>
      <c r="AF10" s="316" t="s">
        <v>827</v>
      </c>
      <c r="AG10" s="254">
        <v>43373</v>
      </c>
      <c r="AH10" s="751"/>
      <c r="AI10" s="64" t="str">
        <f>IFERROR(VLOOKUP(Camp_List[[#This Row],[Responsible Agency]],Organization_t[],3,0),"")</f>
        <v xml:space="preserve">Benjamin Conner
benjamin.conner@drcmm.org
</v>
      </c>
      <c r="AJ10" s="47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17" t="s">
        <v>396</v>
      </c>
      <c r="J11" s="316" t="s">
        <v>455</v>
      </c>
      <c r="K11" s="517">
        <v>196206</v>
      </c>
      <c r="L11" s="316" t="s">
        <v>61</v>
      </c>
      <c r="M11" s="316" t="s">
        <v>147</v>
      </c>
      <c r="N11" s="64">
        <v>92.827427</v>
      </c>
      <c r="O11" s="64">
        <v>20.16846</v>
      </c>
      <c r="P11" s="316"/>
      <c r="Q11" s="679">
        <f>1473+510</f>
        <v>1983</v>
      </c>
      <c r="R11" s="678">
        <f>8863+2500</f>
        <v>11363</v>
      </c>
      <c r="S11" s="690">
        <v>5.8618468146027203</v>
      </c>
      <c r="T11" s="522" t="s">
        <v>326</v>
      </c>
      <c r="U11" s="522" t="s">
        <v>705</v>
      </c>
      <c r="V11" s="522" t="s">
        <v>20</v>
      </c>
      <c r="W11" s="316"/>
      <c r="X11" s="316"/>
      <c r="Y11" s="316"/>
      <c r="Z11" s="316" t="s">
        <v>608</v>
      </c>
      <c r="AA11" s="316" t="str">
        <f>CONCATENATE(Camp_List[[#This Row],[Ethnicity]],"-",Camp_List[[#This Row],[Religion]])</f>
        <v>-Muslim</v>
      </c>
      <c r="AB11" s="316" t="s">
        <v>943</v>
      </c>
      <c r="AC11" s="316" t="s">
        <v>612</v>
      </c>
      <c r="AD11" s="582" t="s">
        <v>273</v>
      </c>
      <c r="AE11" s="316" t="s">
        <v>826</v>
      </c>
      <c r="AF11" s="316" t="s">
        <v>827</v>
      </c>
      <c r="AG11" s="254">
        <v>43373</v>
      </c>
      <c r="AH11" s="528" t="s">
        <v>1112</v>
      </c>
      <c r="AI11" s="64" t="str">
        <f>IFERROR(VLOOKUP(Camp_List[[#This Row],[Responsible Agency]],Organization_t[],3,0),"")</f>
        <v xml:space="preserve">Benjamin Conner
benjamin.conner@drcmm.org
</v>
      </c>
      <c r="AJ11" s="47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79">
        <v>518</v>
      </c>
      <c r="R12" s="677">
        <v>2951</v>
      </c>
      <c r="S12" s="690">
        <v>5.6969111969111967</v>
      </c>
      <c r="T12" s="522" t="s">
        <v>326</v>
      </c>
      <c r="U12" s="522" t="s">
        <v>705</v>
      </c>
      <c r="V12" s="522" t="s">
        <v>756</v>
      </c>
      <c r="W12" s="318"/>
      <c r="X12" s="316"/>
      <c r="Y12" s="316"/>
      <c r="Z12" s="316" t="s">
        <v>608</v>
      </c>
      <c r="AA12" s="316" t="str">
        <f>CONCATENATE(Camp_List[[#This Row],[Ethnicity]],"-",Camp_List[[#This Row],[Religion]])</f>
        <v>-Muslim</v>
      </c>
      <c r="AB12" s="316" t="s">
        <v>943</v>
      </c>
      <c r="AC12" s="316" t="s">
        <v>613</v>
      </c>
      <c r="AD12" s="582" t="s">
        <v>270</v>
      </c>
      <c r="AE12" s="316" t="s">
        <v>462</v>
      </c>
      <c r="AF12" s="316" t="s">
        <v>477</v>
      </c>
      <c r="AG12" s="254">
        <v>43312</v>
      </c>
      <c r="AH12" s="316"/>
      <c r="AI12" s="64" t="str">
        <f>IFERROR(VLOOKUP(Camp_List[[#This Row],[Responsible Agency]],Organization_t[],3,0),"")</f>
        <v>Richard Tracey, CCCM/NFI/Shelter Cluster Coordinator, tracey@unhcr.org,09448027896</v>
      </c>
      <c r="AJ12" s="47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17">
        <v>196829</v>
      </c>
      <c r="L13" s="316" t="s">
        <v>45</v>
      </c>
      <c r="M13" s="316" t="s">
        <v>131</v>
      </c>
      <c r="N13" s="64">
        <v>92.965980999999999</v>
      </c>
      <c r="O13" s="64">
        <v>20.865687000000001</v>
      </c>
      <c r="P13" s="316"/>
      <c r="Q13" s="679">
        <v>85</v>
      </c>
      <c r="R13" s="678">
        <v>546</v>
      </c>
      <c r="S13" s="690">
        <v>6.8</v>
      </c>
      <c r="T13" s="522" t="s">
        <v>326</v>
      </c>
      <c r="U13" s="522" t="s">
        <v>705</v>
      </c>
      <c r="V13" s="522" t="s">
        <v>21</v>
      </c>
      <c r="W13" s="318" t="s">
        <v>810</v>
      </c>
      <c r="X13" s="316"/>
      <c r="Y13" s="316"/>
      <c r="Z13" s="316" t="s">
        <v>608</v>
      </c>
      <c r="AA13" s="316" t="str">
        <f>CONCATENATE(Camp_List[[#This Row],[Ethnicity]],"-",Camp_List[[#This Row],[Religion]])</f>
        <v>-Muslim</v>
      </c>
      <c r="AB13" s="316" t="s">
        <v>943</v>
      </c>
      <c r="AC13" s="316" t="s">
        <v>613</v>
      </c>
      <c r="AD13" s="582" t="s">
        <v>270</v>
      </c>
      <c r="AE13" s="316" t="s">
        <v>462</v>
      </c>
      <c r="AF13" s="316" t="s">
        <v>860</v>
      </c>
      <c r="AG13" s="254">
        <v>43312</v>
      </c>
      <c r="AH13" s="514" t="s">
        <v>944</v>
      </c>
      <c r="AI13" s="64" t="str">
        <f>IFERROR(VLOOKUP(Camp_List[[#This Row],[Responsible Agency]],Organization_t[],3,0),"")</f>
        <v>Richard Tracey, CCCM/NFI/Shelter Cluster Coordinator, tracey@unhcr.org,09448027896</v>
      </c>
      <c r="AJ13" s="47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1054</v>
      </c>
      <c r="M14" s="316" t="s">
        <v>148</v>
      </c>
      <c r="N14" s="64">
        <v>92.823166999999998</v>
      </c>
      <c r="O14" s="64">
        <v>20.181778000000001</v>
      </c>
      <c r="P14" s="316"/>
      <c r="Q14" s="679">
        <v>400</v>
      </c>
      <c r="R14" s="678">
        <v>2306</v>
      </c>
      <c r="S14" s="690">
        <v>5.4411027568922306</v>
      </c>
      <c r="T14" s="522" t="s">
        <v>326</v>
      </c>
      <c r="U14" s="522" t="s">
        <v>705</v>
      </c>
      <c r="V14" s="522" t="s">
        <v>20</v>
      </c>
      <c r="W14" s="318"/>
      <c r="X14" s="316"/>
      <c r="Y14" s="316"/>
      <c r="Z14" s="316" t="s">
        <v>608</v>
      </c>
      <c r="AA14" s="316" t="str">
        <f>CONCATENATE(Camp_List[[#This Row],[Ethnicity]],"-",Camp_List[[#This Row],[Religion]])</f>
        <v>-Muslim</v>
      </c>
      <c r="AB14" s="316" t="s">
        <v>943</v>
      </c>
      <c r="AC14" s="316" t="s">
        <v>612</v>
      </c>
      <c r="AD14" s="582" t="s">
        <v>575</v>
      </c>
      <c r="AE14" s="316" t="s">
        <v>826</v>
      </c>
      <c r="AF14" s="316" t="s">
        <v>827</v>
      </c>
      <c r="AG14" s="254">
        <v>43373</v>
      </c>
      <c r="AH14" s="528"/>
      <c r="AI14" s="64" t="str">
        <f>IFERROR(VLOOKUP(Camp_List[[#This Row],[Responsible Agency]],Organization_t[],3,0),"")</f>
        <v>Yadu Shresk
Emergency Project Coordinator
campro.mmr@lwfdws.org</v>
      </c>
      <c r="AJ14" s="470">
        <f ca="1">IF((SUMIFS(Data_Shelter_t[Coverage],Data_Shelter_t[Pcode],Camp_List[[#This Row],[P_Code]]))&gt;1,1,SUMIFS(Data_Shelter_t[Coverage],Data_Shelter_t[Pcode],Camp_List[[#This Row],[P_Code]]))</f>
        <v>0</v>
      </c>
      <c r="BL14" s="16"/>
      <c r="BM14" s="16"/>
      <c r="BO14" s="58"/>
      <c r="BP14" s="58"/>
    </row>
    <row r="15" spans="1:68" ht="17.25" customHeight="1" x14ac:dyDescent="0.25">
      <c r="A15" s="316" t="s">
        <v>331</v>
      </c>
      <c r="B15" s="316" t="s">
        <v>7</v>
      </c>
      <c r="C15" s="316" t="s">
        <v>334</v>
      </c>
      <c r="D15" s="316" t="s">
        <v>17</v>
      </c>
      <c r="E15" s="316" t="s">
        <v>559</v>
      </c>
      <c r="F15" s="316" t="s">
        <v>17</v>
      </c>
      <c r="G15" s="316" t="s">
        <v>393</v>
      </c>
      <c r="H15" s="316" t="s">
        <v>399</v>
      </c>
      <c r="I15" s="316" t="s">
        <v>398</v>
      </c>
      <c r="J15" s="316" t="s">
        <v>399</v>
      </c>
      <c r="K15" s="316">
        <v>196191</v>
      </c>
      <c r="L15" s="316" t="s">
        <v>1055</v>
      </c>
      <c r="M15" s="316" t="s">
        <v>148</v>
      </c>
      <c r="N15" s="64">
        <v>92.823166999999998</v>
      </c>
      <c r="O15" s="64">
        <v>20.181778000000001</v>
      </c>
      <c r="P15" s="316"/>
      <c r="Q15" s="1093">
        <v>399</v>
      </c>
      <c r="R15" s="1094">
        <v>2223</v>
      </c>
      <c r="S15" s="690">
        <v>5.4411027568922306</v>
      </c>
      <c r="T15" s="522" t="s">
        <v>326</v>
      </c>
      <c r="U15" s="522" t="s">
        <v>705</v>
      </c>
      <c r="V15" s="522" t="s">
        <v>20</v>
      </c>
      <c r="W15" s="522"/>
      <c r="X15" s="316"/>
      <c r="Y15" s="316"/>
      <c r="Z15" s="316" t="s">
        <v>608</v>
      </c>
      <c r="AA15" s="523" t="str">
        <f>CONCATENATE(Camp_List[[#This Row],[Ethnicity]],"-",Camp_List[[#This Row],[Religion]])</f>
        <v>-Muslim</v>
      </c>
      <c r="AB15" s="316" t="s">
        <v>943</v>
      </c>
      <c r="AC15" s="316" t="s">
        <v>612</v>
      </c>
      <c r="AD15" s="582" t="s">
        <v>575</v>
      </c>
      <c r="AE15" s="316" t="s">
        <v>826</v>
      </c>
      <c r="AF15" s="316" t="s">
        <v>827</v>
      </c>
      <c r="AG15" s="254">
        <v>43373</v>
      </c>
      <c r="AH15" s="523"/>
      <c r="AI15" s="523" t="str">
        <f>IFERROR(VLOOKUP(Camp_List[[#This Row],[Responsible Agency]],Organization_t[],3,0),"")</f>
        <v>Yadu Shresk
Emergency Project Coordinator
campro.mmr@lwfdws.org</v>
      </c>
      <c r="AJ15" s="470">
        <f ca="1">IF((SUMIFS(Data_Shelter_t[Coverage],Data_Shelter_t[Pcode],Camp_List[[#This Row],[P_Code]]))&gt;1,1,SUMIFS(Data_Shelter_t[Coverage],Data_Shelter_t[Pcode],Camp_List[[#This Row],[P_Code]]))</f>
        <v>0</v>
      </c>
      <c r="BL15" s="16"/>
      <c r="BM15" s="16"/>
      <c r="BO15" s="58"/>
      <c r="BP15" s="58"/>
    </row>
    <row r="16" spans="1:68" ht="17.25" customHeight="1" x14ac:dyDescent="0.25">
      <c r="A16" s="316" t="s">
        <v>331</v>
      </c>
      <c r="B16" s="436" t="s">
        <v>7</v>
      </c>
      <c r="C16" s="436" t="s">
        <v>334</v>
      </c>
      <c r="D16" s="436" t="s">
        <v>17</v>
      </c>
      <c r="E16" s="436" t="s">
        <v>559</v>
      </c>
      <c r="F16" s="436" t="s">
        <v>13</v>
      </c>
      <c r="G16" s="436" t="s">
        <v>355</v>
      </c>
      <c r="H16" s="316" t="s">
        <v>361</v>
      </c>
      <c r="I16" s="316" t="s">
        <v>360</v>
      </c>
      <c r="J16" s="316" t="s">
        <v>40</v>
      </c>
      <c r="K16" s="316" t="s">
        <v>923</v>
      </c>
      <c r="L16" s="436" t="s">
        <v>40</v>
      </c>
      <c r="M16" s="436" t="s">
        <v>126</v>
      </c>
      <c r="N16" s="437">
        <v>93.010368999999997</v>
      </c>
      <c r="O16" s="437">
        <v>20.090183</v>
      </c>
      <c r="P16" s="436"/>
      <c r="Q16" s="679">
        <v>1343</v>
      </c>
      <c r="R16" s="678">
        <v>5945</v>
      </c>
      <c r="S16" s="690">
        <v>4.8249227600411899</v>
      </c>
      <c r="T16" s="522" t="s">
        <v>326</v>
      </c>
      <c r="U16" s="522" t="s">
        <v>705</v>
      </c>
      <c r="V16" s="606" t="s">
        <v>20</v>
      </c>
      <c r="W16" s="436"/>
      <c r="X16" s="436"/>
      <c r="Y16" s="436"/>
      <c r="Z16" s="316" t="s">
        <v>608</v>
      </c>
      <c r="AA16" s="316" t="str">
        <f>CONCATENATE(Camp_List[[#This Row],[Ethnicity]],"-",Camp_List[[#This Row],[Religion]])</f>
        <v>-Muslim</v>
      </c>
      <c r="AB16" s="253" t="s">
        <v>943</v>
      </c>
      <c r="AC16" s="316" t="s">
        <v>612</v>
      </c>
      <c r="AD16" s="584" t="s">
        <v>273</v>
      </c>
      <c r="AE16" s="436"/>
      <c r="AF16" s="316" t="s">
        <v>827</v>
      </c>
      <c r="AG16" s="254">
        <v>43373</v>
      </c>
      <c r="AH16" s="528"/>
      <c r="AI16" s="524" t="str">
        <f>IFERROR(VLOOKUP(Camp_List[[#This Row],[Responsible Agency]],Organization_t[],3,0),"")</f>
        <v xml:space="preserve">Benjamin Conner
benjamin.conner@drcmm.org
</v>
      </c>
      <c r="AJ16" s="530">
        <f ca="1">IF((SUMIFS(Data_Shelter_t[Coverage],Data_Shelter_t[Pcode],Camp_List[[#This Row],[P_Code]]))&gt;1,1,SUMIFS(Data_Shelter_t[Coverage],Data_Shelter_t[Pcode],Camp_List[[#This Row],[P_Code]]))</f>
        <v>0.99478778853313476</v>
      </c>
      <c r="BL16" s="16"/>
      <c r="BM16" s="16"/>
      <c r="BO16" s="58"/>
      <c r="BP16" s="58"/>
    </row>
    <row r="17" spans="1:69" ht="17.25" customHeight="1" x14ac:dyDescent="0.25">
      <c r="A17" s="316" t="s">
        <v>331</v>
      </c>
      <c r="B17" s="316" t="s">
        <v>7</v>
      </c>
      <c r="C17" s="316" t="s">
        <v>334</v>
      </c>
      <c r="D17" s="316" t="s">
        <v>17</v>
      </c>
      <c r="E17" s="316" t="s">
        <v>559</v>
      </c>
      <c r="F17" s="316" t="s">
        <v>17</v>
      </c>
      <c r="G17" s="316" t="s">
        <v>393</v>
      </c>
      <c r="H17" s="316" t="s">
        <v>397</v>
      </c>
      <c r="I17" s="316" t="s">
        <v>396</v>
      </c>
      <c r="J17" s="316" t="s">
        <v>397</v>
      </c>
      <c r="K17" s="316">
        <v>196200</v>
      </c>
      <c r="L17" s="316" t="s">
        <v>580</v>
      </c>
      <c r="M17" s="316" t="s">
        <v>268</v>
      </c>
      <c r="N17" s="64">
        <v>92.831000000000003</v>
      </c>
      <c r="O17" s="64">
        <v>20.185917</v>
      </c>
      <c r="P17" s="316"/>
      <c r="Q17" s="679">
        <v>622</v>
      </c>
      <c r="R17" s="678">
        <v>3370</v>
      </c>
      <c r="S17" s="690">
        <v>5.3717948717948714</v>
      </c>
      <c r="T17" s="522" t="s">
        <v>326</v>
      </c>
      <c r="U17" s="522" t="s">
        <v>705</v>
      </c>
      <c r="V17" s="522" t="s">
        <v>20</v>
      </c>
      <c r="W17" s="318"/>
      <c r="X17" s="316"/>
      <c r="Y17" s="316"/>
      <c r="Z17" s="316" t="s">
        <v>608</v>
      </c>
      <c r="AA17" s="316" t="str">
        <f>CONCATENATE(Camp_List[[#This Row],[Ethnicity]],"-",Camp_List[[#This Row],[Religion]])</f>
        <v>-Muslim</v>
      </c>
      <c r="AB17" s="316" t="s">
        <v>943</v>
      </c>
      <c r="AC17" s="316" t="s">
        <v>612</v>
      </c>
      <c r="AD17" s="582" t="s">
        <v>904</v>
      </c>
      <c r="AE17" s="316" t="s">
        <v>826</v>
      </c>
      <c r="AF17" s="316" t="s">
        <v>827</v>
      </c>
      <c r="AG17" s="254">
        <v>43404</v>
      </c>
      <c r="AH17" s="528"/>
      <c r="AI17" s="64" t="str">
        <f>IFERROR(VLOOKUP(Camp_List[[#This Row],[Responsible Agency]],Organization_t[],3,0),"")</f>
        <v xml:space="preserve">Szilvia Heszler, Camp Management Project Manager
Sittwe, Myanmar
szilvia.heszler@nrc.no , Phone: + 95 (0) 9441612937
</v>
      </c>
      <c r="AJ17" s="470">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13</v>
      </c>
      <c r="G18" s="316" t="s">
        <v>355</v>
      </c>
      <c r="H18" s="316" t="s">
        <v>358</v>
      </c>
      <c r="I18" s="316" t="s">
        <v>357</v>
      </c>
      <c r="J18" s="316" t="s">
        <v>450</v>
      </c>
      <c r="K18" s="316" t="s">
        <v>924</v>
      </c>
      <c r="L18" s="316" t="s">
        <v>982</v>
      </c>
      <c r="M18" s="316" t="s">
        <v>125</v>
      </c>
      <c r="N18" s="64">
        <v>93.154551999999995</v>
      </c>
      <c r="O18" s="64">
        <v>20.073437999999999</v>
      </c>
      <c r="P18" s="316"/>
      <c r="Q18" s="1023">
        <v>905</v>
      </c>
      <c r="R18" s="678">
        <v>4118</v>
      </c>
      <c r="S18" s="690">
        <v>4.7418321588725201</v>
      </c>
      <c r="T18" s="522" t="s">
        <v>326</v>
      </c>
      <c r="U18" s="522" t="s">
        <v>705</v>
      </c>
      <c r="V18" s="606" t="s">
        <v>20</v>
      </c>
      <c r="W18" s="522"/>
      <c r="X18" s="316"/>
      <c r="Y18" s="316"/>
      <c r="Z18" s="316" t="s">
        <v>608</v>
      </c>
      <c r="AA18" s="316" t="str">
        <f>CONCATENATE(Camp_List[[#This Row],[Ethnicity]],"-",Camp_List[[#This Row],[Religion]])</f>
        <v>-Muslim</v>
      </c>
      <c r="AB18" s="253" t="s">
        <v>943</v>
      </c>
      <c r="AC18" s="316" t="s">
        <v>612</v>
      </c>
      <c r="AD18" s="584" t="s">
        <v>575</v>
      </c>
      <c r="AE18" s="316"/>
      <c r="AF18" s="316" t="s">
        <v>827</v>
      </c>
      <c r="AG18" s="254">
        <v>43373</v>
      </c>
      <c r="AH18" s="528"/>
      <c r="AI18" s="523" t="str">
        <f>IFERROR(VLOOKUP(Camp_List[[#This Row],[Responsible Agency]],Organization_t[],3,0),"")</f>
        <v>Yadu Shresk
Emergency Project Coordinator
campro.mmr@lwfdws.org</v>
      </c>
      <c r="AJ18" s="530">
        <f ca="1">IF((SUMIFS(Data_Shelter_t[Coverage],Data_Shelter_t[Pcode],Camp_List[[#This Row],[P_Code]]))&gt;1,1,SUMIFS(Data_Shelter_t[Coverage],Data_Shelter_t[Pcode],Camp_List[[#This Row],[P_Code]]))</f>
        <v>1</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395</v>
      </c>
      <c r="I19" s="316" t="s">
        <v>394</v>
      </c>
      <c r="J19" s="316" t="s">
        <v>501</v>
      </c>
      <c r="K19" s="316">
        <v>196158</v>
      </c>
      <c r="L19" s="316" t="s">
        <v>585</v>
      </c>
      <c r="M19" s="316" t="s">
        <v>502</v>
      </c>
      <c r="N19" s="64">
        <v>92.774193999999994</v>
      </c>
      <c r="O19" s="64">
        <v>20.206778</v>
      </c>
      <c r="P19" s="316"/>
      <c r="Q19" s="679">
        <v>734</v>
      </c>
      <c r="R19" s="678">
        <v>4007</v>
      </c>
      <c r="S19" s="690">
        <v>5.221879815100154</v>
      </c>
      <c r="T19" s="522" t="s">
        <v>326</v>
      </c>
      <c r="U19" s="522" t="s">
        <v>705</v>
      </c>
      <c r="V19" s="522" t="s">
        <v>20</v>
      </c>
      <c r="W19" s="318"/>
      <c r="X19" s="316"/>
      <c r="Y19" s="316"/>
      <c r="Z19" s="316" t="s">
        <v>608</v>
      </c>
      <c r="AA19" s="316" t="str">
        <f>CONCATENATE(Camp_List[[#This Row],[Ethnicity]],"-",Camp_List[[#This Row],[Religion]])</f>
        <v>-Muslim</v>
      </c>
      <c r="AB19" s="316" t="s">
        <v>943</v>
      </c>
      <c r="AC19" s="316" t="s">
        <v>612</v>
      </c>
      <c r="AD19" s="582" t="s">
        <v>273</v>
      </c>
      <c r="AE19" s="316" t="s">
        <v>826</v>
      </c>
      <c r="AF19" s="316" t="s">
        <v>827</v>
      </c>
      <c r="AG19" s="254">
        <v>43373</v>
      </c>
      <c r="AH19" s="528"/>
      <c r="AI19" s="64" t="str">
        <f>IFERROR(VLOOKUP(Camp_List[[#This Row],[Responsible Agency]],Organization_t[],3,0),"")</f>
        <v xml:space="preserve">Benjamin Conner
benjamin.conner@drcmm.org
</v>
      </c>
      <c r="AJ19" s="470">
        <f ca="1">IF((SUMIFS(Data_Shelter_t[Coverage],Data_Shelter_t[Pcode],Camp_List[[#This Row],[P_Code]]))&gt;1,1,SUMIFS(Data_Shelter_t[Coverage],Data_Shelter_t[Pcode],Camp_List[[#This Row],[P_Code]]))</f>
        <v>0.87193460490463215</v>
      </c>
      <c r="BL19" s="16"/>
      <c r="BM19" s="16"/>
      <c r="BO19" s="58"/>
      <c r="BP19" s="58"/>
    </row>
    <row r="20" spans="1:69" ht="17.25" customHeight="1" x14ac:dyDescent="0.25">
      <c r="A20" s="316" t="s">
        <v>331</v>
      </c>
      <c r="B20" s="316" t="s">
        <v>7</v>
      </c>
      <c r="C20" s="316" t="s">
        <v>334</v>
      </c>
      <c r="D20" s="316" t="s">
        <v>17</v>
      </c>
      <c r="E20" s="316" t="s">
        <v>559</v>
      </c>
      <c r="F20" s="316" t="s">
        <v>17</v>
      </c>
      <c r="G20" s="316" t="s">
        <v>393</v>
      </c>
      <c r="H20" s="316" t="s">
        <v>399</v>
      </c>
      <c r="I20" s="316" t="s">
        <v>398</v>
      </c>
      <c r="J20" s="316" t="s">
        <v>454</v>
      </c>
      <c r="K20" s="316">
        <v>196192</v>
      </c>
      <c r="L20" s="316" t="s">
        <v>586</v>
      </c>
      <c r="M20" s="316" t="s">
        <v>588</v>
      </c>
      <c r="N20" s="64">
        <v>92.798880999999994</v>
      </c>
      <c r="O20" s="64">
        <v>20.18994</v>
      </c>
      <c r="P20" s="316"/>
      <c r="Q20" s="679">
        <v>2668</v>
      </c>
      <c r="R20" s="678">
        <v>13794</v>
      </c>
      <c r="S20" s="690">
        <v>5.1939901103081016</v>
      </c>
      <c r="T20" s="522" t="s">
        <v>326</v>
      </c>
      <c r="U20" s="522" t="s">
        <v>705</v>
      </c>
      <c r="V20" s="522" t="s">
        <v>20</v>
      </c>
      <c r="W20" s="318"/>
      <c r="X20" s="316"/>
      <c r="Y20" s="316"/>
      <c r="Z20" s="316" t="s">
        <v>608</v>
      </c>
      <c r="AA20" s="316" t="str">
        <f>CONCATENATE(Camp_List[[#This Row],[Ethnicity]],"-",Camp_List[[#This Row],[Religion]])</f>
        <v>-Muslim</v>
      </c>
      <c r="AB20" s="316" t="s">
        <v>943</v>
      </c>
      <c r="AC20" s="316" t="s">
        <v>612</v>
      </c>
      <c r="AD20" s="582" t="s">
        <v>273</v>
      </c>
      <c r="AE20" s="316" t="s">
        <v>826</v>
      </c>
      <c r="AF20" s="316" t="s">
        <v>827</v>
      </c>
      <c r="AG20" s="254">
        <v>43373</v>
      </c>
      <c r="AH20" s="528"/>
      <c r="AI20" s="16" t="str">
        <f>IFERROR(VLOOKUP(Camp_List[[#This Row],[Responsible Agency]],Organization_t[],3,0),"")</f>
        <v xml:space="preserve">Benjamin Conner
benjamin.conner@drcmm.org
</v>
      </c>
      <c r="AJ20" s="470">
        <f ca="1">IF((SUMIFS(Data_Shelter_t[Coverage],Data_Shelter_t[Pcode],Camp_List[[#This Row],[P_Code]]))&gt;1,1,SUMIFS(Data_Shelter_t[Coverage],Data_Shelter_t[Pcode],Camp_List[[#This Row],[P_Code]]))</f>
        <v>1</v>
      </c>
      <c r="BL20" s="16"/>
      <c r="BM20" s="16"/>
      <c r="BP20" s="58"/>
      <c r="BQ20" s="58"/>
    </row>
    <row r="21" spans="1:69" ht="17.25" customHeight="1" x14ac:dyDescent="0.25">
      <c r="A21" s="316" t="s">
        <v>331</v>
      </c>
      <c r="B21" s="316" t="s">
        <v>7</v>
      </c>
      <c r="C21" s="316" t="s">
        <v>334</v>
      </c>
      <c r="D21" s="316" t="s">
        <v>561</v>
      </c>
      <c r="E21" s="316" t="s">
        <v>562</v>
      </c>
      <c r="F21" s="316" t="s">
        <v>561</v>
      </c>
      <c r="G21" s="316" t="s">
        <v>386</v>
      </c>
      <c r="H21" s="316" t="s">
        <v>391</v>
      </c>
      <c r="I21" s="316" t="s">
        <v>392</v>
      </c>
      <c r="J21" s="316" t="s">
        <v>440</v>
      </c>
      <c r="K21" s="316">
        <v>198486</v>
      </c>
      <c r="L21" s="316" t="s">
        <v>56</v>
      </c>
      <c r="M21" s="316" t="s">
        <v>141</v>
      </c>
      <c r="N21" s="64">
        <v>93.512326000000002</v>
      </c>
      <c r="O21" s="64">
        <v>19.424576999999999</v>
      </c>
      <c r="P21" s="64"/>
      <c r="Q21" s="679">
        <v>415</v>
      </c>
      <c r="R21" s="678">
        <v>1050</v>
      </c>
      <c r="S21" s="690">
        <v>2.9836065573770494</v>
      </c>
      <c r="T21" s="522" t="s">
        <v>326</v>
      </c>
      <c r="U21" s="522" t="s">
        <v>705</v>
      </c>
      <c r="V21" s="522" t="s">
        <v>20</v>
      </c>
      <c r="W21" s="318"/>
      <c r="X21" s="316"/>
      <c r="Y21" s="316"/>
      <c r="Z21" s="316" t="s">
        <v>608</v>
      </c>
      <c r="AA21" s="316" t="str">
        <f>CONCATENATE(Camp_List[[#This Row],[Ethnicity]],"-",Camp_List[[#This Row],[Religion]])</f>
        <v>-Muslim</v>
      </c>
      <c r="AB21" s="316" t="s">
        <v>943</v>
      </c>
      <c r="AC21" s="316" t="s">
        <v>613</v>
      </c>
      <c r="AD21" s="582" t="s">
        <v>270</v>
      </c>
      <c r="AE21" s="316" t="s">
        <v>462</v>
      </c>
      <c r="AF21" s="316" t="s">
        <v>477</v>
      </c>
      <c r="AG21" s="254">
        <v>43312</v>
      </c>
      <c r="AH21" s="316"/>
      <c r="AI21" s="64" t="str">
        <f>IFERROR(VLOOKUP(Camp_List[[#This Row],[Responsible Agency]],Organization_t[],3,0),"")</f>
        <v>Richard Tracey, CCCM/NFI/Shelter Cluster Coordinator, tracey@unhcr.org,09448027896</v>
      </c>
      <c r="AJ21" s="470">
        <f ca="1">IF((SUMIFS(Data_Shelter_t[Coverage],Data_Shelter_t[Pcode],Camp_List[[#This Row],[P_Code]]))&gt;1,1,SUMIFS(Data_Shelter_t[Coverage],Data_Shelter_t[Pcode],Camp_List[[#This Row],[P_Code]]))</f>
        <v>1</v>
      </c>
      <c r="BL21" s="16"/>
      <c r="BM21" s="16"/>
      <c r="BP21" s="58"/>
      <c r="BQ21" s="58"/>
    </row>
    <row r="22" spans="1:69" ht="17.25" hidden="1" customHeight="1" x14ac:dyDescent="0.25">
      <c r="A22" s="316" t="s">
        <v>332</v>
      </c>
      <c r="B22" s="316" t="s">
        <v>7</v>
      </c>
      <c r="C22" s="316" t="s">
        <v>334</v>
      </c>
      <c r="D22" s="316" t="s">
        <v>561</v>
      </c>
      <c r="E22" s="316" t="s">
        <v>562</v>
      </c>
      <c r="F22" s="316" t="s">
        <v>16</v>
      </c>
      <c r="G22" s="316" t="s">
        <v>385</v>
      </c>
      <c r="H22" s="316" t="s">
        <v>388</v>
      </c>
      <c r="I22" s="316" t="s">
        <v>387</v>
      </c>
      <c r="J22" s="316" t="s">
        <v>950</v>
      </c>
      <c r="K22" s="316" t="s">
        <v>951</v>
      </c>
      <c r="L22" s="316" t="s">
        <v>58</v>
      </c>
      <c r="M22" s="316" t="s">
        <v>144</v>
      </c>
      <c r="N22" s="64">
        <v>93.865170000000006</v>
      </c>
      <c r="O22" s="64">
        <v>19.091054</v>
      </c>
      <c r="P22" s="316"/>
      <c r="Q22" s="679"/>
      <c r="R22" s="678"/>
      <c r="S22" s="690"/>
      <c r="T22" s="522" t="s">
        <v>326</v>
      </c>
      <c r="U22" s="522" t="s">
        <v>705</v>
      </c>
      <c r="V22" s="778" t="s">
        <v>21</v>
      </c>
      <c r="W22" s="318"/>
      <c r="X22" s="316"/>
      <c r="Y22" s="316" t="s">
        <v>7</v>
      </c>
      <c r="Z22" s="316" t="s">
        <v>708</v>
      </c>
      <c r="AA22" s="316" t="str">
        <f>CONCATENATE(Camp_List[[#This Row],[Ethnicity]],"-",Camp_List[[#This Row],[Religion]])</f>
        <v>Rakhine-Buddhist</v>
      </c>
      <c r="AB22" s="316" t="s">
        <v>943</v>
      </c>
      <c r="AC22" s="316"/>
      <c r="AD22" s="582"/>
      <c r="AE22" s="316" t="s">
        <v>462</v>
      </c>
      <c r="AF22" s="316" t="s">
        <v>477</v>
      </c>
      <c r="AG22" s="254">
        <v>42916</v>
      </c>
      <c r="AH22" s="526" t="s">
        <v>1075</v>
      </c>
      <c r="AI22" s="64" t="str">
        <f>IFERROR(VLOOKUP(Camp_List[[#This Row],[Responsible Agency]],Organization_t[],3,0),"")</f>
        <v/>
      </c>
      <c r="AJ22" s="470">
        <f>IF((SUMIFS(Data_Shelter_t[Coverage],Data_Shelter_t[Pcode],Camp_List[[#This Row],[P_Code]]))&gt;1,1,SUMIFS(Data_Shelter_t[Coverage],Data_Shelter_t[Pcode],Camp_List[[#This Row],[P_Code]]))</f>
        <v>0</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399</v>
      </c>
      <c r="I23" s="316" t="s">
        <v>398</v>
      </c>
      <c r="J23" s="316" t="s">
        <v>454</v>
      </c>
      <c r="K23" s="316">
        <v>196192</v>
      </c>
      <c r="L23" s="316" t="s">
        <v>587</v>
      </c>
      <c r="M23" s="316" t="s">
        <v>589</v>
      </c>
      <c r="N23" s="64">
        <v>92.802295999999998</v>
      </c>
      <c r="O23" s="64">
        <v>20.185092000000001</v>
      </c>
      <c r="P23" s="316"/>
      <c r="Q23" s="680">
        <v>2259</v>
      </c>
      <c r="R23" s="678">
        <v>11322</v>
      </c>
      <c r="S23" s="690">
        <v>5.2180115916183683</v>
      </c>
      <c r="T23" s="522" t="s">
        <v>326</v>
      </c>
      <c r="U23" s="522" t="s">
        <v>705</v>
      </c>
      <c r="V23" s="522" t="s">
        <v>20</v>
      </c>
      <c r="W23" s="318"/>
      <c r="X23" s="316"/>
      <c r="Y23" s="316"/>
      <c r="Z23" s="316" t="s">
        <v>608</v>
      </c>
      <c r="AA23" s="316" t="str">
        <f>CONCATENATE(Camp_List[[#This Row],[Ethnicity]],"-",Camp_List[[#This Row],[Religion]])</f>
        <v>-Muslim</v>
      </c>
      <c r="AB23" s="316" t="s">
        <v>943</v>
      </c>
      <c r="AC23" s="316" t="s">
        <v>612</v>
      </c>
      <c r="AD23" s="582" t="s">
        <v>575</v>
      </c>
      <c r="AE23" s="316" t="s">
        <v>826</v>
      </c>
      <c r="AF23" s="316" t="s">
        <v>827</v>
      </c>
      <c r="AG23" s="254">
        <v>43373</v>
      </c>
      <c r="AH23" s="528"/>
      <c r="AI23" s="64" t="str">
        <f>IFERROR(VLOOKUP(Camp_List[[#This Row],[Responsible Agency]],Organization_t[],3,0),"")</f>
        <v>Yadu Shresk
Emergency Project Coordinator
campro.mmr@lwfdws.org</v>
      </c>
      <c r="AJ23" s="470">
        <f ca="1">IF((SUMIFS(Data_Shelter_t[Coverage],Data_Shelter_t[Pcode],Camp_List[[#This Row],[P_Code]]))&gt;1,1,SUMIFS(Data_Shelter_t[Coverage],Data_Shelter_t[Pcode],Camp_List[[#This Row],[P_Code]]))</f>
        <v>1</v>
      </c>
      <c r="BL23" s="16"/>
      <c r="BM23" s="16"/>
      <c r="BP23" s="58"/>
      <c r="BQ23" s="58"/>
    </row>
    <row r="24" spans="1:69" ht="17.25" customHeight="1" x14ac:dyDescent="0.25">
      <c r="A24" s="316" t="s">
        <v>331</v>
      </c>
      <c r="B24" s="316" t="s">
        <v>7</v>
      </c>
      <c r="C24" s="316" t="s">
        <v>334</v>
      </c>
      <c r="D24" s="316" t="s">
        <v>17</v>
      </c>
      <c r="E24" s="316" t="s">
        <v>559</v>
      </c>
      <c r="F24" s="316" t="s">
        <v>17</v>
      </c>
      <c r="G24" s="316" t="s">
        <v>393</v>
      </c>
      <c r="H24" s="316" t="s">
        <v>395</v>
      </c>
      <c r="I24" s="316" t="s">
        <v>394</v>
      </c>
      <c r="J24" s="316" t="s">
        <v>65</v>
      </c>
      <c r="K24" s="316">
        <v>196154</v>
      </c>
      <c r="L24" s="316" t="s">
        <v>65</v>
      </c>
      <c r="M24" s="316" t="s">
        <v>151</v>
      </c>
      <c r="N24" s="64">
        <v>92.792479999999998</v>
      </c>
      <c r="O24" s="64">
        <v>20.202525000000001</v>
      </c>
      <c r="P24" s="316"/>
      <c r="Q24" s="679">
        <v>2703</v>
      </c>
      <c r="R24" s="678">
        <v>13711</v>
      </c>
      <c r="S24" s="690">
        <v>4.9991789819376029</v>
      </c>
      <c r="T24" s="522" t="s">
        <v>326</v>
      </c>
      <c r="U24" s="522" t="s">
        <v>705</v>
      </c>
      <c r="V24" s="522" t="s">
        <v>20</v>
      </c>
      <c r="W24" s="318"/>
      <c r="X24" s="316"/>
      <c r="Y24" s="316"/>
      <c r="Z24" s="316" t="s">
        <v>608</v>
      </c>
      <c r="AA24" s="316" t="str">
        <f>CONCATENATE(Camp_List[[#This Row],[Ethnicity]],"-",Camp_List[[#This Row],[Religion]])</f>
        <v>-Muslim</v>
      </c>
      <c r="AB24" s="316" t="s">
        <v>943</v>
      </c>
      <c r="AC24" s="316" t="s">
        <v>612</v>
      </c>
      <c r="AD24" s="582" t="s">
        <v>273</v>
      </c>
      <c r="AE24" s="316" t="s">
        <v>826</v>
      </c>
      <c r="AF24" s="316" t="s">
        <v>827</v>
      </c>
      <c r="AG24" s="254">
        <v>43404</v>
      </c>
      <c r="AH24" s="528"/>
      <c r="AI24" s="16" t="str">
        <f>IFERROR(VLOOKUP(Camp_List[[#This Row],[Responsible Agency]],Organization_t[],3,0),"")</f>
        <v xml:space="preserve">Benjamin Conner
benjamin.conner@drcmm.org
</v>
      </c>
      <c r="AJ24" s="470">
        <f ca="1">IF((SUMIFS(Data_Shelter_t[Coverage],Data_Shelter_t[Pcode],Camp_List[[#This Row],[P_Code]]))&gt;1,1,SUMIFS(Data_Shelter_t[Coverage],Data_Shelter_t[Pcode],Camp_List[[#This Row],[P_Code]]))</f>
        <v>0.99149093599704041</v>
      </c>
      <c r="BL24" s="16"/>
      <c r="BM24" s="16"/>
      <c r="BP24" s="58"/>
      <c r="BQ24" s="58"/>
    </row>
    <row r="25" spans="1:69" ht="17.25" customHeight="1" x14ac:dyDescent="0.25">
      <c r="A25" s="316" t="s">
        <v>331</v>
      </c>
      <c r="B25" s="316" t="s">
        <v>7</v>
      </c>
      <c r="C25" s="316" t="s">
        <v>334</v>
      </c>
      <c r="D25" s="316" t="s">
        <v>17</v>
      </c>
      <c r="E25" s="316" t="s">
        <v>559</v>
      </c>
      <c r="F25" s="316" t="s">
        <v>13</v>
      </c>
      <c r="G25" s="316" t="s">
        <v>355</v>
      </c>
      <c r="H25" s="316" t="s">
        <v>41</v>
      </c>
      <c r="I25" s="316" t="s">
        <v>359</v>
      </c>
      <c r="J25" s="316" t="s">
        <v>1163</v>
      </c>
      <c r="K25" s="316">
        <v>197548</v>
      </c>
      <c r="L25" s="316" t="s">
        <v>41</v>
      </c>
      <c r="M25" s="316" t="s">
        <v>127</v>
      </c>
      <c r="N25" s="64">
        <v>92.993758999999997</v>
      </c>
      <c r="O25" s="64">
        <v>20.064226000000001</v>
      </c>
      <c r="P25" s="316"/>
      <c r="Q25" s="679">
        <v>617</v>
      </c>
      <c r="R25" s="678">
        <v>2845</v>
      </c>
      <c r="S25" s="690">
        <v>3.7519500780031203</v>
      </c>
      <c r="T25" s="522" t="s">
        <v>326</v>
      </c>
      <c r="U25" s="522" t="s">
        <v>705</v>
      </c>
      <c r="V25" s="522" t="s">
        <v>20</v>
      </c>
      <c r="W25" s="318"/>
      <c r="X25" s="316"/>
      <c r="Y25" s="316" t="s">
        <v>714</v>
      </c>
      <c r="Z25" s="316" t="s">
        <v>608</v>
      </c>
      <c r="AA25" s="316" t="str">
        <f>CONCATENATE(Camp_List[[#This Row],[Ethnicity]],"-",Camp_List[[#This Row],[Religion]])</f>
        <v>Kaman-Muslim</v>
      </c>
      <c r="AB25" s="253" t="s">
        <v>943</v>
      </c>
      <c r="AC25" s="316" t="s">
        <v>612</v>
      </c>
      <c r="AD25" s="583" t="s">
        <v>273</v>
      </c>
      <c r="AE25" s="316" t="s">
        <v>826</v>
      </c>
      <c r="AF25" s="316" t="s">
        <v>827</v>
      </c>
      <c r="AG25" s="254">
        <v>43373</v>
      </c>
      <c r="AH25" s="528"/>
      <c r="AI25" s="64" t="str">
        <f>IFERROR(VLOOKUP(Camp_List[[#This Row],[Responsible Agency]],Organization_t[],3,0),"")</f>
        <v xml:space="preserve">Benjamin Conner
benjamin.conner@drcmm.org
</v>
      </c>
      <c r="AJ25" s="47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814</v>
      </c>
      <c r="G26" s="316" t="s">
        <v>356</v>
      </c>
      <c r="H26" s="316" t="s">
        <v>363</v>
      </c>
      <c r="I26" s="316" t="s">
        <v>362</v>
      </c>
      <c r="J26" s="517" t="s">
        <v>468</v>
      </c>
      <c r="K26" s="316">
        <v>217973</v>
      </c>
      <c r="L26" s="316" t="s">
        <v>36</v>
      </c>
      <c r="M26" s="316" t="s">
        <v>122</v>
      </c>
      <c r="N26" s="64">
        <v>93.370037999999994</v>
      </c>
      <c r="O26" s="64">
        <v>20.037655000000001</v>
      </c>
      <c r="P26" s="316"/>
      <c r="Q26" s="679">
        <v>655</v>
      </c>
      <c r="R26" s="678">
        <v>2690</v>
      </c>
      <c r="S26" s="690">
        <v>4.043413173652695</v>
      </c>
      <c r="T26" s="522" t="s">
        <v>326</v>
      </c>
      <c r="U26" s="522" t="s">
        <v>705</v>
      </c>
      <c r="V26" s="522" t="s">
        <v>20</v>
      </c>
      <c r="W26" s="318"/>
      <c r="X26" s="316"/>
      <c r="Y26" s="316"/>
      <c r="Z26" s="316" t="s">
        <v>608</v>
      </c>
      <c r="AA26" s="316" t="str">
        <f>CONCATENATE(Camp_List[[#This Row],[Ethnicity]],"-",Camp_List[[#This Row],[Religion]])</f>
        <v>-Muslim</v>
      </c>
      <c r="AB26" s="316" t="s">
        <v>470</v>
      </c>
      <c r="AC26" s="316" t="s">
        <v>613</v>
      </c>
      <c r="AD26" s="582" t="s">
        <v>658</v>
      </c>
      <c r="AE26" s="316" t="s">
        <v>826</v>
      </c>
      <c r="AF26" s="316" t="s">
        <v>827</v>
      </c>
      <c r="AG26" s="254">
        <v>43373</v>
      </c>
      <c r="AH26" s="316"/>
      <c r="AI26" s="64" t="str">
        <f>IFERROR(VLOOKUP(Camp_List[[#This Row],[Responsible Agency]],Organization_t[],3,0),"")</f>
        <v>Alejandro Cuyar, Head of Rakhine Programs, 
alejandro.cuyar@ri.org</v>
      </c>
      <c r="AJ26" s="47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316" t="s">
        <v>17</v>
      </c>
      <c r="G27" s="316" t="s">
        <v>393</v>
      </c>
      <c r="H27" s="316" t="s">
        <v>397</v>
      </c>
      <c r="I27" s="316" t="s">
        <v>396</v>
      </c>
      <c r="J27" s="316" t="s">
        <v>1159</v>
      </c>
      <c r="K27" s="316">
        <v>196211</v>
      </c>
      <c r="L27" s="316" t="s">
        <v>66</v>
      </c>
      <c r="M27" s="316" t="s">
        <v>152</v>
      </c>
      <c r="N27" s="64">
        <v>92.839416999999997</v>
      </c>
      <c r="O27" s="64">
        <v>20.1585</v>
      </c>
      <c r="P27" s="316"/>
      <c r="Q27" s="680">
        <v>2272</v>
      </c>
      <c r="R27" s="678">
        <v>13072</v>
      </c>
      <c r="S27" s="690">
        <v>5.4372960372960373</v>
      </c>
      <c r="T27" s="522" t="s">
        <v>326</v>
      </c>
      <c r="U27" s="522" t="s">
        <v>705</v>
      </c>
      <c r="V27" s="522" t="s">
        <v>21</v>
      </c>
      <c r="W27" s="318"/>
      <c r="X27" s="316"/>
      <c r="Y27" s="316"/>
      <c r="Z27" s="316" t="s">
        <v>608</v>
      </c>
      <c r="AA27" s="316" t="str">
        <f>CONCATENATE(Camp_List[[#This Row],[Ethnicity]],"-",Camp_List[[#This Row],[Religion]])</f>
        <v>-Muslim</v>
      </c>
      <c r="AB27" s="316" t="s">
        <v>943</v>
      </c>
      <c r="AC27" s="316" t="s">
        <v>612</v>
      </c>
      <c r="AD27" s="582" t="s">
        <v>575</v>
      </c>
      <c r="AE27" s="316" t="s">
        <v>826</v>
      </c>
      <c r="AF27" s="316" t="s">
        <v>827</v>
      </c>
      <c r="AG27" s="254">
        <v>43373</v>
      </c>
      <c r="AH27" s="514"/>
      <c r="AI27" s="16" t="str">
        <f>IFERROR(VLOOKUP(Camp_List[[#This Row],[Responsible Agency]],Organization_t[],3,0),"")</f>
        <v>Yadu Shresk
Emergency Project Coordinator
campro.mmr@lwfdws.org</v>
      </c>
      <c r="AJ27" s="47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516" t="s">
        <v>17</v>
      </c>
      <c r="G28" s="316" t="s">
        <v>393</v>
      </c>
      <c r="H28" s="316" t="s">
        <v>397</v>
      </c>
      <c r="I28" s="316" t="s">
        <v>396</v>
      </c>
      <c r="J28" s="516" t="s">
        <v>456</v>
      </c>
      <c r="K28" s="316">
        <v>196186</v>
      </c>
      <c r="L28" s="516" t="s">
        <v>68</v>
      </c>
      <c r="M28" s="519" t="s">
        <v>154</v>
      </c>
      <c r="N28" s="64">
        <v>92.831879000000001</v>
      </c>
      <c r="O28" s="64">
        <v>20.179939999999998</v>
      </c>
      <c r="P28" s="520"/>
      <c r="Q28" s="1025">
        <v>981</v>
      </c>
      <c r="R28" s="678">
        <v>5926</v>
      </c>
      <c r="S28" s="692">
        <v>5.7479674796747968</v>
      </c>
      <c r="T28" s="522" t="s">
        <v>326</v>
      </c>
      <c r="U28" s="522" t="s">
        <v>705</v>
      </c>
      <c r="V28" s="522" t="s">
        <v>20</v>
      </c>
      <c r="W28" s="318"/>
      <c r="X28" s="316"/>
      <c r="Y28" s="316"/>
      <c r="Z28" s="316" t="s">
        <v>608</v>
      </c>
      <c r="AA28" s="316" t="str">
        <f>CONCATENATE(Camp_List[[#This Row],[Ethnicity]],"-",Camp_List[[#This Row],[Religion]])</f>
        <v>-Muslim</v>
      </c>
      <c r="AB28" s="316" t="s">
        <v>943</v>
      </c>
      <c r="AC28" s="316" t="s">
        <v>612</v>
      </c>
      <c r="AD28" s="582" t="s">
        <v>904</v>
      </c>
      <c r="AE28" s="316" t="s">
        <v>826</v>
      </c>
      <c r="AF28" s="316" t="s">
        <v>827</v>
      </c>
      <c r="AG28" s="254">
        <v>43404</v>
      </c>
      <c r="AH28" s="316"/>
      <c r="AI28" s="529" t="str">
        <f>IFERROR(VLOOKUP(Camp_List[[#This Row],[Responsible Agency]],Organization_t[],3,0),"")</f>
        <v xml:space="preserve">Szilvia Heszler, Camp Management Project Manager
Sittwe, Myanmar
szilvia.heszler@nrc.no , Phone: + 95 (0) 9441612937
</v>
      </c>
      <c r="AJ28" s="470">
        <f ca="1">IF((SUMIFS(Data_Shelter_t[Coverage],Data_Shelter_t[Pcode],Camp_List[[#This Row],[P_Code]]))&gt;1,1,SUMIFS(Data_Shelter_t[Coverage],Data_Shelter_t[Pcode],Camp_List[[#This Row],[P_Code]]))</f>
        <v>1</v>
      </c>
      <c r="BL28" s="16"/>
      <c r="BM28" s="16"/>
      <c r="BP28" s="58"/>
      <c r="BQ28" s="58"/>
    </row>
    <row r="29" spans="1:69" ht="17.25" customHeight="1" x14ac:dyDescent="0.25">
      <c r="A29" s="316" t="s">
        <v>331</v>
      </c>
      <c r="B29" s="316" t="s">
        <v>7</v>
      </c>
      <c r="C29" s="316" t="s">
        <v>334</v>
      </c>
      <c r="D29" s="316" t="s">
        <v>17</v>
      </c>
      <c r="E29" s="316" t="s">
        <v>559</v>
      </c>
      <c r="F29" s="316" t="s">
        <v>17</v>
      </c>
      <c r="G29" s="316" t="s">
        <v>393</v>
      </c>
      <c r="H29" s="316" t="s">
        <v>397</v>
      </c>
      <c r="I29" s="316" t="s">
        <v>396</v>
      </c>
      <c r="J29" s="316" t="s">
        <v>456</v>
      </c>
      <c r="K29" s="316">
        <v>196186</v>
      </c>
      <c r="L29" s="316" t="s">
        <v>497</v>
      </c>
      <c r="M29" s="316" t="s">
        <v>267</v>
      </c>
      <c r="N29" s="64">
        <v>92.842230000000001</v>
      </c>
      <c r="O29" s="64">
        <v>20.181742</v>
      </c>
      <c r="P29" s="316"/>
      <c r="Q29" s="679">
        <v>496</v>
      </c>
      <c r="R29" s="678">
        <v>2942</v>
      </c>
      <c r="S29" s="693">
        <v>5.931451612903226</v>
      </c>
      <c r="T29" s="316" t="s">
        <v>326</v>
      </c>
      <c r="U29" s="316" t="s">
        <v>705</v>
      </c>
      <c r="V29" s="316" t="s">
        <v>756</v>
      </c>
      <c r="W29" s="318"/>
      <c r="X29" s="316"/>
      <c r="Y29" s="316"/>
      <c r="Z29" s="316" t="s">
        <v>608</v>
      </c>
      <c r="AA29" s="316" t="str">
        <f>CONCATENATE(Camp_List[[#This Row],[Ethnicity]],"-",Camp_List[[#This Row],[Religion]])</f>
        <v>-Muslim</v>
      </c>
      <c r="AB29" s="316" t="s">
        <v>943</v>
      </c>
      <c r="AC29" s="316" t="s">
        <v>613</v>
      </c>
      <c r="AD29" s="582" t="s">
        <v>270</v>
      </c>
      <c r="AE29" s="316" t="s">
        <v>462</v>
      </c>
      <c r="AF29" s="316" t="s">
        <v>477</v>
      </c>
      <c r="AG29" s="254">
        <v>43312</v>
      </c>
      <c r="AH29" s="316"/>
      <c r="AI29" s="64" t="str">
        <f>IFERROR(VLOOKUP(Camp_List[[#This Row],[Responsible Agency]],Organization_t[],3,0),"")</f>
        <v>Richard Tracey, CCCM/NFI/Shelter Cluster Coordinator, tracey@unhcr.org,09448027896</v>
      </c>
      <c r="AJ29" s="470">
        <f>IF((SUMIFS(Data_Shelter_t[Coverage],Data_Shelter_t[Pcode],Camp_List[[#This Row],[P_Code]]))&gt;1,1,SUMIFS(Data_Shelter_t[Coverage],Data_Shelter_t[Pcode],Camp_List[[#This Row],[P_Code]]))</f>
        <v>0</v>
      </c>
      <c r="BL29" s="16"/>
      <c r="BM29" s="16"/>
      <c r="BP29" s="58"/>
      <c r="BQ29" s="58"/>
    </row>
    <row r="30" spans="1:69" ht="17.25" customHeight="1" x14ac:dyDescent="0.25">
      <c r="A30" s="316" t="s">
        <v>331</v>
      </c>
      <c r="B30" s="316" t="s">
        <v>7</v>
      </c>
      <c r="C30" s="316" t="s">
        <v>334</v>
      </c>
      <c r="D30" s="316" t="s">
        <v>17</v>
      </c>
      <c r="E30" s="316" t="s">
        <v>559</v>
      </c>
      <c r="F30" s="316" t="s">
        <v>13</v>
      </c>
      <c r="G30" s="316" t="s">
        <v>355</v>
      </c>
      <c r="H30" s="316" t="s">
        <v>358</v>
      </c>
      <c r="I30" s="316" t="s">
        <v>357</v>
      </c>
      <c r="J30" s="316" t="s">
        <v>450</v>
      </c>
      <c r="K30" s="316" t="s">
        <v>924</v>
      </c>
      <c r="L30" s="316" t="s">
        <v>981</v>
      </c>
      <c r="M30" s="316" t="s">
        <v>125</v>
      </c>
      <c r="N30" s="64">
        <v>93.154551999999995</v>
      </c>
      <c r="O30" s="64">
        <v>20.073437999999999</v>
      </c>
      <c r="P30" s="316"/>
      <c r="Q30" s="679">
        <v>1010</v>
      </c>
      <c r="R30" s="678">
        <v>4665</v>
      </c>
      <c r="S30" s="690">
        <v>4.7418321588725201</v>
      </c>
      <c r="T30" s="522" t="s">
        <v>326</v>
      </c>
      <c r="U30" s="522" t="s">
        <v>705</v>
      </c>
      <c r="V30" s="606" t="s">
        <v>920</v>
      </c>
      <c r="W30" s="522"/>
      <c r="X30" s="316"/>
      <c r="Y30" s="316"/>
      <c r="Z30" s="316" t="s">
        <v>608</v>
      </c>
      <c r="AA30" s="316" t="str">
        <f>CONCATENATE(Camp_List[[#This Row],[Ethnicity]],"-",Camp_List[[#This Row],[Religion]])</f>
        <v>-Muslim</v>
      </c>
      <c r="AB30" s="316" t="s">
        <v>943</v>
      </c>
      <c r="AC30" s="316" t="s">
        <v>612</v>
      </c>
      <c r="AD30" s="585" t="s">
        <v>575</v>
      </c>
      <c r="AE30" s="316" t="s">
        <v>826</v>
      </c>
      <c r="AF30" s="316" t="s">
        <v>827</v>
      </c>
      <c r="AG30" s="254">
        <v>43373</v>
      </c>
      <c r="AH30" s="779"/>
      <c r="AI30" s="523" t="str">
        <f>IFERROR(VLOOKUP(Camp_List[[#This Row],[Responsible Agency]],Organization_t[],3,0),"")</f>
        <v>Yadu Shresk
Emergency Project Coordinator
campro.mmr@lwfdws.org</v>
      </c>
      <c r="AJ30" s="530">
        <f ca="1">IF((SUMIFS(Data_Shelter_t[Coverage],Data_Shelter_t[Pcode],Camp_List[[#This Row],[P_Code]]))&gt;1,1,SUMIFS(Data_Shelter_t[Coverage],Data_Shelter_t[Pcode],Camp_List[[#This Row],[P_Code]]))</f>
        <v>1</v>
      </c>
      <c r="BL30" s="16"/>
      <c r="BM30" s="16"/>
      <c r="BP30" s="58"/>
      <c r="BQ30" s="58"/>
    </row>
    <row r="31" spans="1:69" ht="17.25" customHeight="1" x14ac:dyDescent="0.25">
      <c r="A31" s="514" t="s">
        <v>934</v>
      </c>
      <c r="B31" s="316" t="s">
        <v>7</v>
      </c>
      <c r="C31" s="316" t="s">
        <v>334</v>
      </c>
      <c r="D31" s="316" t="s">
        <v>561</v>
      </c>
      <c r="E31" s="316" t="s">
        <v>562</v>
      </c>
      <c r="F31" s="316" t="s">
        <v>561</v>
      </c>
      <c r="G31" s="316" t="s">
        <v>386</v>
      </c>
      <c r="H31" s="316" t="s">
        <v>390</v>
      </c>
      <c r="I31" s="316" t="s">
        <v>389</v>
      </c>
      <c r="J31" s="316" t="s">
        <v>441</v>
      </c>
      <c r="K31" s="316">
        <v>198469</v>
      </c>
      <c r="L31" s="316" t="s">
        <v>441</v>
      </c>
      <c r="M31" s="316" t="s">
        <v>142</v>
      </c>
      <c r="N31" s="64">
        <v>93.552452000000002</v>
      </c>
      <c r="O31" s="64">
        <v>19.421102000000001</v>
      </c>
      <c r="P31" s="316"/>
      <c r="Q31" s="679">
        <v>65</v>
      </c>
      <c r="R31" s="678">
        <v>327</v>
      </c>
      <c r="S31" s="690">
        <v>5.0307692307692307</v>
      </c>
      <c r="T31" s="522" t="s">
        <v>326</v>
      </c>
      <c r="U31" s="522" t="s">
        <v>705</v>
      </c>
      <c r="V31" s="522" t="s">
        <v>920</v>
      </c>
      <c r="W31" s="318"/>
      <c r="X31" s="316"/>
      <c r="Y31" s="316" t="s">
        <v>7</v>
      </c>
      <c r="Z31" s="316" t="s">
        <v>708</v>
      </c>
      <c r="AA31" s="316" t="str">
        <f>CONCATENATE(Camp_List[[#This Row],[Ethnicity]],"-",Camp_List[[#This Row],[Religion]])</f>
        <v>Rakhine-Buddhist</v>
      </c>
      <c r="AB31" s="316" t="s">
        <v>943</v>
      </c>
      <c r="AC31" s="316"/>
      <c r="AD31" s="582" t="s">
        <v>270</v>
      </c>
      <c r="AE31" s="316" t="s">
        <v>462</v>
      </c>
      <c r="AF31" s="316" t="s">
        <v>477</v>
      </c>
      <c r="AG31" s="254">
        <v>43190</v>
      </c>
      <c r="AH31" s="514" t="s">
        <v>1049</v>
      </c>
      <c r="AI31" s="64" t="str">
        <f>IFERROR(VLOOKUP(Camp_List[[#This Row],[Responsible Agency]],Organization_t[],3,0),"")</f>
        <v>Richard Tracey, CCCM/NFI/Shelter Cluster Coordinator, tracey@unhcr.org,09448027896</v>
      </c>
      <c r="AJ31" s="470">
        <f ca="1">IF((SUMIFS(Data_Shelter_t[Coverage],Data_Shelter_t[Pcode],Camp_List[[#This Row],[P_Code]]))&gt;1,1,SUMIFS(Data_Shelter_t[Coverage],Data_Shelter_t[Pcode],Camp_List[[#This Row],[P_Code]]))</f>
        <v>1</v>
      </c>
      <c r="BL31" s="16"/>
      <c r="BM31" s="16"/>
      <c r="BP31" s="58"/>
      <c r="BQ31" s="58"/>
    </row>
    <row r="32" spans="1:69" ht="17.25" customHeight="1" x14ac:dyDescent="0.25">
      <c r="A32" s="514" t="s">
        <v>934</v>
      </c>
      <c r="B32" s="316" t="s">
        <v>7</v>
      </c>
      <c r="C32" s="316" t="s">
        <v>334</v>
      </c>
      <c r="D32" s="316" t="s">
        <v>17</v>
      </c>
      <c r="E32" s="316" t="s">
        <v>559</v>
      </c>
      <c r="F32" s="316" t="s">
        <v>17</v>
      </c>
      <c r="G32" s="316" t="s">
        <v>393</v>
      </c>
      <c r="H32" s="316" t="s">
        <v>403</v>
      </c>
      <c r="I32" s="316" t="s">
        <v>515</v>
      </c>
      <c r="J32" s="316" t="s">
        <v>403</v>
      </c>
      <c r="K32" s="316" t="s">
        <v>402</v>
      </c>
      <c r="L32" s="316" t="s">
        <v>74</v>
      </c>
      <c r="M32" s="316" t="s">
        <v>269</v>
      </c>
      <c r="N32" s="64">
        <v>92.879138999999995</v>
      </c>
      <c r="O32" s="64">
        <v>20.155805999999998</v>
      </c>
      <c r="P32" s="316"/>
      <c r="Q32" s="680">
        <v>151</v>
      </c>
      <c r="R32" s="678">
        <v>654</v>
      </c>
      <c r="S32" s="690">
        <v>4.2384105960264904</v>
      </c>
      <c r="T32" s="522" t="s">
        <v>326</v>
      </c>
      <c r="U32" s="522"/>
      <c r="V32" s="522" t="s">
        <v>920</v>
      </c>
      <c r="W32" s="318"/>
      <c r="X32" s="316"/>
      <c r="Y32" s="316" t="s">
        <v>7</v>
      </c>
      <c r="Z32" s="316" t="s">
        <v>708</v>
      </c>
      <c r="AA32" s="316" t="str">
        <f>CONCATENATE(Camp_List[[#This Row],[Ethnicity]],"-",Camp_List[[#This Row],[Religion]])</f>
        <v>Rakhine-Buddhist</v>
      </c>
      <c r="AB32" s="316" t="s">
        <v>470</v>
      </c>
      <c r="AC32" s="316"/>
      <c r="AD32" s="582"/>
      <c r="AE32" s="316" t="s">
        <v>826</v>
      </c>
      <c r="AF32" s="316" t="s">
        <v>827</v>
      </c>
      <c r="AG32" s="254">
        <v>42766</v>
      </c>
      <c r="AH32" s="514" t="s">
        <v>946</v>
      </c>
      <c r="AI32" s="64" t="str">
        <f>IFERROR(VLOOKUP(Camp_List[[#This Row],[Responsible Agency]],Organization_t[],3,0),"")</f>
        <v/>
      </c>
      <c r="AJ32" s="470">
        <f ca="1">IF((SUMIFS(Data_Shelter_t[Coverage],Data_Shelter_t[Pcode],Camp_List[[#This Row],[P_Code]]))&gt;1,1,SUMIFS(Data_Shelter_t[Coverage],Data_Shelter_t[Pcode],Camp_List[[#This Row],[P_Code]]))</f>
        <v>1</v>
      </c>
      <c r="BL32" s="16"/>
      <c r="BM32" s="16"/>
      <c r="BP32" s="58"/>
      <c r="BQ32" s="58"/>
    </row>
    <row r="33" spans="1:69" ht="17.25" customHeight="1" x14ac:dyDescent="0.25">
      <c r="A33" s="514" t="s">
        <v>934</v>
      </c>
      <c r="B33" s="316" t="s">
        <v>7</v>
      </c>
      <c r="C33" s="316" t="s">
        <v>334</v>
      </c>
      <c r="D33" s="316" t="s">
        <v>17</v>
      </c>
      <c r="E33" s="316" t="s">
        <v>559</v>
      </c>
      <c r="F33" s="316" t="s">
        <v>14</v>
      </c>
      <c r="G33" s="316" t="s">
        <v>364</v>
      </c>
      <c r="H33" s="316" t="s">
        <v>368</v>
      </c>
      <c r="I33" s="316" t="s">
        <v>367</v>
      </c>
      <c r="J33" s="316" t="s">
        <v>1164</v>
      </c>
      <c r="K33" s="316">
        <v>196838</v>
      </c>
      <c r="L33" s="316" t="s">
        <v>52</v>
      </c>
      <c r="M33" s="316" t="s">
        <v>138</v>
      </c>
      <c r="N33" s="64">
        <v>93.006497999999993</v>
      </c>
      <c r="O33" s="64">
        <v>20.886997999999998</v>
      </c>
      <c r="P33" s="316"/>
      <c r="Q33" s="679">
        <v>97</v>
      </c>
      <c r="R33" s="678">
        <v>557</v>
      </c>
      <c r="S33" s="690">
        <v>5.9381443298969074</v>
      </c>
      <c r="T33" s="522" t="s">
        <v>326</v>
      </c>
      <c r="U33" s="522"/>
      <c r="V33" s="606" t="s">
        <v>920</v>
      </c>
      <c r="W33" s="522" t="s">
        <v>810</v>
      </c>
      <c r="X33" s="316"/>
      <c r="Y33" s="316"/>
      <c r="Z33" s="316" t="s">
        <v>608</v>
      </c>
      <c r="AA33" s="316" t="str">
        <f>CONCATENATE(Camp_List[[#This Row],[Ethnicity]],"-",Camp_List[[#This Row],[Religion]])</f>
        <v>-Muslim</v>
      </c>
      <c r="AB33" s="316" t="s">
        <v>943</v>
      </c>
      <c r="AC33" s="316"/>
      <c r="AD33" s="585"/>
      <c r="AE33" s="316" t="s">
        <v>462</v>
      </c>
      <c r="AF33" s="316" t="s">
        <v>860</v>
      </c>
      <c r="AG33" s="254">
        <v>42766</v>
      </c>
      <c r="AH33" s="527" t="s">
        <v>910</v>
      </c>
      <c r="AI33" s="523" t="str">
        <f>IFERROR(VLOOKUP(Camp_List[[#This Row],[Responsible Agency]],Organization_t[],3,0),"")</f>
        <v/>
      </c>
      <c r="AJ33" s="470">
        <f ca="1">IF((SUMIFS(Data_Shelter_t[Coverage],Data_Shelter_t[Pcode],Camp_List[[#This Row],[P_Code]]))&gt;1,1,SUMIFS(Data_Shelter_t[Coverage],Data_Shelter_t[Pcode],Camp_List[[#This Row],[P_Code]]))</f>
        <v>1</v>
      </c>
      <c r="BL33" s="16"/>
      <c r="BM33" s="16"/>
      <c r="BP33" s="58"/>
      <c r="BQ33" s="58"/>
    </row>
    <row r="34" spans="1:69" ht="17.25" customHeight="1" x14ac:dyDescent="0.25">
      <c r="A34" s="514" t="s">
        <v>934</v>
      </c>
      <c r="B34" s="316" t="s">
        <v>7</v>
      </c>
      <c r="C34" s="316" t="s">
        <v>334</v>
      </c>
      <c r="D34" s="316" t="s">
        <v>17</v>
      </c>
      <c r="E34" s="316" t="s">
        <v>559</v>
      </c>
      <c r="F34" s="645" t="s">
        <v>932</v>
      </c>
      <c r="G34" s="316" t="s">
        <v>348</v>
      </c>
      <c r="H34" s="316" t="s">
        <v>354</v>
      </c>
      <c r="I34" s="316" t="s">
        <v>353</v>
      </c>
      <c r="J34" s="316" t="s">
        <v>449</v>
      </c>
      <c r="K34" s="316">
        <v>196441</v>
      </c>
      <c r="L34" s="316" t="s">
        <v>34</v>
      </c>
      <c r="M34" s="316" t="s">
        <v>120</v>
      </c>
      <c r="N34" s="64">
        <v>93.239519999999999</v>
      </c>
      <c r="O34" s="64">
        <v>20.61692</v>
      </c>
      <c r="P34" s="316"/>
      <c r="Q34" s="679">
        <v>10</v>
      </c>
      <c r="R34" s="678">
        <v>64</v>
      </c>
      <c r="S34" s="690">
        <v>6.4</v>
      </c>
      <c r="T34" s="522" t="s">
        <v>326</v>
      </c>
      <c r="U34" s="522"/>
      <c r="V34" s="522" t="s">
        <v>920</v>
      </c>
      <c r="W34" s="318" t="s">
        <v>811</v>
      </c>
      <c r="X34" s="316"/>
      <c r="Y34" s="316" t="s">
        <v>609</v>
      </c>
      <c r="Z34" s="518" t="s">
        <v>708</v>
      </c>
      <c r="AA34" s="518" t="str">
        <f>CONCATENATE(Camp_List[[#This Row],[Ethnicity]],"-",Camp_List[[#This Row],[Religion]])</f>
        <v>Maramargyi-Buddhist</v>
      </c>
      <c r="AB34" s="518" t="s">
        <v>943</v>
      </c>
      <c r="AC34" s="316"/>
      <c r="AD34" s="582"/>
      <c r="AE34" s="316" t="s">
        <v>462</v>
      </c>
      <c r="AF34" s="316" t="s">
        <v>477</v>
      </c>
      <c r="AG34" s="254">
        <v>42766</v>
      </c>
      <c r="AH34" s="316" t="s">
        <v>910</v>
      </c>
      <c r="AI34" s="64" t="str">
        <f>IFERROR(VLOOKUP(Camp_List[[#This Row],[Responsible Agency]],Organization_t[],3,0),"")</f>
        <v/>
      </c>
      <c r="AJ34" s="470">
        <f ca="1">IF((SUMIFS(Data_Shelter_t[Coverage],Data_Shelter_t[Pcode],Camp_List[[#This Row],[P_Code]]))&gt;1,1,SUMIFS(Data_Shelter_t[Coverage],Data_Shelter_t[Pcode],Camp_List[[#This Row],[P_Code]]))</f>
        <v>1</v>
      </c>
      <c r="BL34" s="16"/>
      <c r="BM34" s="16"/>
      <c r="BP34" s="58"/>
      <c r="BQ34" s="58"/>
    </row>
    <row r="35" spans="1:69" ht="17.25" customHeight="1" x14ac:dyDescent="0.25">
      <c r="A35" s="514" t="s">
        <v>934</v>
      </c>
      <c r="B35" s="316" t="s">
        <v>7</v>
      </c>
      <c r="C35" s="316" t="s">
        <v>334</v>
      </c>
      <c r="D35" s="316" t="s">
        <v>17</v>
      </c>
      <c r="E35" s="316" t="s">
        <v>559</v>
      </c>
      <c r="F35" s="316" t="s">
        <v>932</v>
      </c>
      <c r="G35" s="316" t="s">
        <v>348</v>
      </c>
      <c r="H35" s="317" t="s">
        <v>576</v>
      </c>
      <c r="I35" s="316" t="s">
        <v>577</v>
      </c>
      <c r="J35" s="316" t="s">
        <v>578</v>
      </c>
      <c r="K35" s="316">
        <v>196501</v>
      </c>
      <c r="L35" s="316" t="s">
        <v>578</v>
      </c>
      <c r="M35" s="316" t="s">
        <v>579</v>
      </c>
      <c r="N35" s="64">
        <v>93.246863000000005</v>
      </c>
      <c r="O35" s="64">
        <v>20.495086000000001</v>
      </c>
      <c r="P35" s="316"/>
      <c r="Q35" s="679">
        <v>32</v>
      </c>
      <c r="R35" s="678">
        <v>131</v>
      </c>
      <c r="S35" s="690">
        <v>4.225806451612903</v>
      </c>
      <c r="T35" s="522" t="s">
        <v>326</v>
      </c>
      <c r="U35" s="522"/>
      <c r="V35" s="522" t="s">
        <v>920</v>
      </c>
      <c r="W35" s="318" t="s">
        <v>811</v>
      </c>
      <c r="X35" s="316"/>
      <c r="Y35" s="316" t="s">
        <v>7</v>
      </c>
      <c r="Z35" s="316" t="s">
        <v>708</v>
      </c>
      <c r="AA35" s="316" t="str">
        <f>CONCATENATE(Camp_List[[#This Row],[Ethnicity]],"-",Camp_List[[#This Row],[Religion]])</f>
        <v>Rakhine-Buddhist</v>
      </c>
      <c r="AB35" s="518" t="s">
        <v>943</v>
      </c>
      <c r="AC35" s="316"/>
      <c r="AD35" s="582"/>
      <c r="AE35" s="316" t="s">
        <v>462</v>
      </c>
      <c r="AF35" s="316" t="s">
        <v>477</v>
      </c>
      <c r="AG35" s="254">
        <v>42766</v>
      </c>
      <c r="AH35" s="316" t="s">
        <v>910</v>
      </c>
      <c r="AI35" s="64" t="str">
        <f>IFERROR(VLOOKUP(Camp_List[[#This Row],[Responsible Agency]],Organization_t[],3,0),"")</f>
        <v/>
      </c>
      <c r="AJ35" s="470">
        <f ca="1">IF((SUMIFS(Data_Shelter_t[Coverage],Data_Shelter_t[Pcode],Camp_List[[#This Row],[P_Code]]))&gt;1,1,SUMIFS(Data_Shelter_t[Coverage],Data_Shelter_t[Pcode],Camp_List[[#This Row],[P_Code]]))</f>
        <v>1</v>
      </c>
      <c r="BL35" s="16"/>
      <c r="BM35" s="16"/>
      <c r="BP35" s="58"/>
      <c r="BQ35" s="58"/>
    </row>
    <row r="36" spans="1:69" ht="17.25" customHeight="1" x14ac:dyDescent="0.25">
      <c r="A36" s="514" t="s">
        <v>934</v>
      </c>
      <c r="B36" s="436" t="s">
        <v>7</v>
      </c>
      <c r="C36" s="436" t="s">
        <v>334</v>
      </c>
      <c r="D36" s="436" t="s">
        <v>17</v>
      </c>
      <c r="E36" s="436" t="s">
        <v>559</v>
      </c>
      <c r="F36" s="436" t="s">
        <v>13</v>
      </c>
      <c r="G36" s="436" t="s">
        <v>355</v>
      </c>
      <c r="H36" s="316" t="s">
        <v>470</v>
      </c>
      <c r="I36" s="316" t="s">
        <v>528</v>
      </c>
      <c r="J36" s="316" t="s">
        <v>452</v>
      </c>
      <c r="K36" s="316" t="s">
        <v>453</v>
      </c>
      <c r="L36" s="316" t="s">
        <v>37</v>
      </c>
      <c r="M36" s="316" t="s">
        <v>123</v>
      </c>
      <c r="N36" s="64">
        <v>93.067891000000003</v>
      </c>
      <c r="O36" s="64">
        <v>20.173468</v>
      </c>
      <c r="P36" s="316"/>
      <c r="Q36" s="679">
        <v>21</v>
      </c>
      <c r="R36" s="678">
        <v>122</v>
      </c>
      <c r="S36" s="690">
        <v>5.8095238095238093</v>
      </c>
      <c r="T36" s="522" t="s">
        <v>326</v>
      </c>
      <c r="U36" s="522"/>
      <c r="V36" s="522" t="s">
        <v>920</v>
      </c>
      <c r="W36" s="318"/>
      <c r="X36" s="316"/>
      <c r="Y36" s="316" t="s">
        <v>7</v>
      </c>
      <c r="Z36" s="316" t="s">
        <v>708</v>
      </c>
      <c r="AA36" s="316" t="str">
        <f>CONCATENATE(Camp_List[[#This Row],[Ethnicity]],"-",Camp_List[[#This Row],[Religion]])</f>
        <v>Rakhine-Buddhist</v>
      </c>
      <c r="AB36" s="316" t="s">
        <v>470</v>
      </c>
      <c r="AC36" s="316"/>
      <c r="AD36" s="582"/>
      <c r="AE36" s="316" t="s">
        <v>826</v>
      </c>
      <c r="AF36" s="316" t="s">
        <v>827</v>
      </c>
      <c r="AG36" s="254">
        <v>42766</v>
      </c>
      <c r="AH36" s="316" t="s">
        <v>926</v>
      </c>
      <c r="AI36" s="64" t="str">
        <f>IFERROR(VLOOKUP(Camp_List[[#This Row],[Responsible Agency]],Organization_t[],3,0),"")</f>
        <v/>
      </c>
      <c r="AJ36" s="470">
        <f ca="1">IF((SUMIFS(Data_Shelter_t[Coverage],Data_Shelter_t[Pcode],Camp_List[[#This Row],[P_Code]]))&gt;1,1,SUMIFS(Data_Shelter_t[Coverage],Data_Shelter_t[Pcode],Camp_List[[#This Row],[P_Code]]))</f>
        <v>1</v>
      </c>
      <c r="BL36" s="16"/>
      <c r="BM36" s="16"/>
      <c r="BP36" s="58"/>
      <c r="BQ36" s="58"/>
    </row>
    <row r="37" spans="1:69" ht="17.25" customHeight="1" x14ac:dyDescent="0.25">
      <c r="A37" s="514" t="s">
        <v>934</v>
      </c>
      <c r="B37" s="316" t="s">
        <v>7</v>
      </c>
      <c r="C37" s="316" t="s">
        <v>334</v>
      </c>
      <c r="D37" s="316" t="s">
        <v>17</v>
      </c>
      <c r="E37" s="316" t="s">
        <v>559</v>
      </c>
      <c r="F37" s="316" t="s">
        <v>17</v>
      </c>
      <c r="G37" s="316" t="s">
        <v>393</v>
      </c>
      <c r="H37" s="316" t="s">
        <v>470</v>
      </c>
      <c r="I37" s="316" t="s">
        <v>515</v>
      </c>
      <c r="J37" s="316" t="s">
        <v>516</v>
      </c>
      <c r="K37" s="316" t="s">
        <v>517</v>
      </c>
      <c r="L37" s="316" t="s">
        <v>590</v>
      </c>
      <c r="M37" s="316" t="s">
        <v>592</v>
      </c>
      <c r="N37" s="64">
        <v>92.887277999999995</v>
      </c>
      <c r="O37" s="64">
        <v>20.151471999999998</v>
      </c>
      <c r="P37" s="316"/>
      <c r="Q37" s="679">
        <v>249</v>
      </c>
      <c r="R37" s="678">
        <v>1282</v>
      </c>
      <c r="S37" s="690">
        <v>5.1485943775100402</v>
      </c>
      <c r="T37" s="522" t="s">
        <v>326</v>
      </c>
      <c r="U37" s="522"/>
      <c r="V37" s="522" t="s">
        <v>920</v>
      </c>
      <c r="W37" s="318"/>
      <c r="X37" s="316"/>
      <c r="Y37" s="316" t="s">
        <v>7</v>
      </c>
      <c r="Z37" s="316" t="s">
        <v>708</v>
      </c>
      <c r="AA37" s="316" t="str">
        <f>CONCATENATE(Camp_List[[#This Row],[Ethnicity]],"-",Camp_List[[#This Row],[Religion]])</f>
        <v>Rakhine-Buddhist</v>
      </c>
      <c r="AB37" s="316" t="s">
        <v>470</v>
      </c>
      <c r="AC37" s="316"/>
      <c r="AD37" s="582"/>
      <c r="AE37" s="316" t="s">
        <v>826</v>
      </c>
      <c r="AF37" s="316" t="s">
        <v>827</v>
      </c>
      <c r="AG37" s="254">
        <v>42766</v>
      </c>
      <c r="AH37" s="316" t="s">
        <v>910</v>
      </c>
      <c r="AI37" s="16" t="str">
        <f>IFERROR(VLOOKUP(Camp_List[[#This Row],[Responsible Agency]],Organization_t[],3,0),"")</f>
        <v/>
      </c>
      <c r="AJ37" s="470">
        <f ca="1">IF((SUMIFS(Data_Shelter_t[Coverage],Data_Shelter_t[Pcode],Camp_List[[#This Row],[P_Code]]))&gt;1,1,SUMIFS(Data_Shelter_t[Coverage],Data_Shelter_t[Pcode],Camp_List[[#This Row],[P_Code]]))</f>
        <v>1</v>
      </c>
      <c r="BL37" s="16"/>
      <c r="BM37" s="16"/>
      <c r="BP37" s="58"/>
      <c r="BQ37" s="58"/>
    </row>
    <row r="38" spans="1:69" ht="17.25" customHeight="1" x14ac:dyDescent="0.25">
      <c r="A38" s="514" t="s">
        <v>934</v>
      </c>
      <c r="B38" s="316" t="s">
        <v>7</v>
      </c>
      <c r="C38" s="316" t="s">
        <v>334</v>
      </c>
      <c r="D38" s="316" t="s">
        <v>17</v>
      </c>
      <c r="E38" s="316" t="s">
        <v>559</v>
      </c>
      <c r="F38" s="316" t="s">
        <v>17</v>
      </c>
      <c r="G38" s="316" t="s">
        <v>393</v>
      </c>
      <c r="H38" s="316" t="s">
        <v>470</v>
      </c>
      <c r="I38" s="316" t="s">
        <v>515</v>
      </c>
      <c r="J38" s="316" t="s">
        <v>516</v>
      </c>
      <c r="K38" s="316" t="s">
        <v>517</v>
      </c>
      <c r="L38" s="316" t="s">
        <v>591</v>
      </c>
      <c r="M38" s="316" t="s">
        <v>593</v>
      </c>
      <c r="N38" s="64">
        <v>92.887277999999995</v>
      </c>
      <c r="O38" s="64">
        <v>20.151471999999998</v>
      </c>
      <c r="P38" s="316"/>
      <c r="Q38" s="679">
        <v>420</v>
      </c>
      <c r="R38" s="678">
        <v>2200</v>
      </c>
      <c r="S38" s="690">
        <v>5.2631578947368425</v>
      </c>
      <c r="T38" s="522" t="s">
        <v>326</v>
      </c>
      <c r="U38" s="522"/>
      <c r="V38" s="522" t="s">
        <v>920</v>
      </c>
      <c r="W38" s="318"/>
      <c r="X38" s="316"/>
      <c r="Y38" s="316" t="s">
        <v>7</v>
      </c>
      <c r="Z38" s="316" t="s">
        <v>708</v>
      </c>
      <c r="AA38" s="316" t="str">
        <f>CONCATENATE(Camp_List[[#This Row],[Ethnicity]],"-",Camp_List[[#This Row],[Religion]])</f>
        <v>Rakhine-Buddhist</v>
      </c>
      <c r="AB38" s="316" t="s">
        <v>470</v>
      </c>
      <c r="AC38" s="316"/>
      <c r="AD38" s="582"/>
      <c r="AE38" s="316" t="s">
        <v>826</v>
      </c>
      <c r="AF38" s="316" t="s">
        <v>827</v>
      </c>
      <c r="AG38" s="254">
        <v>42766</v>
      </c>
      <c r="AH38" s="316" t="s">
        <v>910</v>
      </c>
      <c r="AI38" s="16" t="str">
        <f>IFERROR(VLOOKUP(Camp_List[[#This Row],[Responsible Agency]],Organization_t[],3,0),"")</f>
        <v/>
      </c>
      <c r="AJ38" s="470">
        <f ca="1">IF((SUMIFS(Data_Shelter_t[Coverage],Data_Shelter_t[Pcode],Camp_List[[#This Row],[P_Code]]))&gt;1,1,SUMIFS(Data_Shelter_t[Coverage],Data_Shelter_t[Pcode],Camp_List[[#This Row],[P_Code]]))</f>
        <v>1</v>
      </c>
      <c r="BL38" s="16"/>
      <c r="BM38" s="16"/>
      <c r="BP38" s="58"/>
      <c r="BQ38" s="58"/>
    </row>
    <row r="39" spans="1:69" ht="17.25" customHeight="1" x14ac:dyDescent="0.25">
      <c r="A39" s="514" t="s">
        <v>934</v>
      </c>
      <c r="B39" s="316" t="s">
        <v>7</v>
      </c>
      <c r="C39" s="316" t="s">
        <v>334</v>
      </c>
      <c r="D39" s="316" t="s">
        <v>17</v>
      </c>
      <c r="E39" s="316" t="s">
        <v>559</v>
      </c>
      <c r="F39" s="316" t="s">
        <v>17</v>
      </c>
      <c r="G39" s="316" t="s">
        <v>393</v>
      </c>
      <c r="H39" s="316" t="s">
        <v>403</v>
      </c>
      <c r="I39" s="316" t="s">
        <v>515</v>
      </c>
      <c r="J39" s="316" t="s">
        <v>403</v>
      </c>
      <c r="K39" s="316" t="s">
        <v>402</v>
      </c>
      <c r="L39" s="316" t="s">
        <v>76</v>
      </c>
      <c r="M39" s="316" t="s">
        <v>162</v>
      </c>
      <c r="N39" s="64">
        <v>92.880319999999998</v>
      </c>
      <c r="O39" s="64">
        <v>20.148584</v>
      </c>
      <c r="P39" s="316"/>
      <c r="Q39" s="679">
        <v>72</v>
      </c>
      <c r="R39" s="678">
        <v>462</v>
      </c>
      <c r="S39" s="690">
        <v>6.416666666666667</v>
      </c>
      <c r="T39" s="522" t="s">
        <v>326</v>
      </c>
      <c r="U39" s="522"/>
      <c r="V39" s="522" t="s">
        <v>920</v>
      </c>
      <c r="W39" s="318"/>
      <c r="X39" s="316"/>
      <c r="Y39" s="316" t="s">
        <v>609</v>
      </c>
      <c r="Z39" s="316" t="s">
        <v>708</v>
      </c>
      <c r="AA39" s="316" t="str">
        <f>CONCATENATE(Camp_List[[#This Row],[Ethnicity]],"-",Camp_List[[#This Row],[Religion]])</f>
        <v>Maramargyi-Buddhist</v>
      </c>
      <c r="AB39" s="316" t="s">
        <v>470</v>
      </c>
      <c r="AC39" s="316"/>
      <c r="AD39" s="582"/>
      <c r="AE39" s="316" t="s">
        <v>826</v>
      </c>
      <c r="AF39" s="316" t="s">
        <v>827</v>
      </c>
      <c r="AG39" s="254">
        <v>42766</v>
      </c>
      <c r="AH39" s="316" t="s">
        <v>910</v>
      </c>
      <c r="AI39" s="64" t="str">
        <f>IFERROR(VLOOKUP(Camp_List[[#This Row],[Responsible Agency]],Organization_t[],3,0),"")</f>
        <v/>
      </c>
      <c r="AJ39" s="470">
        <f ca="1">IF((SUMIFS(Data_Shelter_t[Coverage],Data_Shelter_t[Pcode],Camp_List[[#This Row],[P_Code]]))&gt;1,1,SUMIFS(Data_Shelter_t[Coverage],Data_Shelter_t[Pcode],Camp_List[[#This Row],[P_Code]]))</f>
        <v>0.28915662650602408</v>
      </c>
      <c r="BL39" s="16"/>
      <c r="BM39" s="16"/>
      <c r="BP39" s="58"/>
      <c r="BQ39" s="58"/>
    </row>
    <row r="40" spans="1:69" ht="17.25" customHeight="1" x14ac:dyDescent="0.25">
      <c r="A40" s="514" t="s">
        <v>934</v>
      </c>
      <c r="B40" s="316" t="s">
        <v>7</v>
      </c>
      <c r="C40" s="316" t="s">
        <v>334</v>
      </c>
      <c r="D40" s="316" t="s">
        <v>17</v>
      </c>
      <c r="E40" s="316" t="s">
        <v>559</v>
      </c>
      <c r="F40" s="316" t="s">
        <v>814</v>
      </c>
      <c r="G40" s="316" t="s">
        <v>356</v>
      </c>
      <c r="H40" s="316" t="s">
        <v>470</v>
      </c>
      <c r="I40" s="316" t="s">
        <v>496</v>
      </c>
      <c r="J40" s="316" t="s">
        <v>444</v>
      </c>
      <c r="K40" s="316" t="s">
        <v>445</v>
      </c>
      <c r="L40" s="316" t="s">
        <v>35</v>
      </c>
      <c r="M40" s="316" t="s">
        <v>121</v>
      </c>
      <c r="N40" s="64">
        <v>93.373951000000005</v>
      </c>
      <c r="O40" s="64">
        <v>20.041981</v>
      </c>
      <c r="P40" s="316"/>
      <c r="Q40" s="679">
        <v>40</v>
      </c>
      <c r="R40" s="678">
        <v>204</v>
      </c>
      <c r="S40" s="690">
        <v>4.8292682926829267</v>
      </c>
      <c r="T40" s="522" t="s">
        <v>326</v>
      </c>
      <c r="U40" s="522"/>
      <c r="V40" s="522" t="s">
        <v>920</v>
      </c>
      <c r="W40" s="318"/>
      <c r="X40" s="316"/>
      <c r="Y40" s="316" t="s">
        <v>7</v>
      </c>
      <c r="Z40" s="316" t="s">
        <v>708</v>
      </c>
      <c r="AA40" s="316" t="str">
        <f>CONCATENATE(Camp_List[[#This Row],[Ethnicity]],"-",Camp_List[[#This Row],[Religion]])</f>
        <v>Rakhine-Buddhist</v>
      </c>
      <c r="AB40" s="316" t="s">
        <v>470</v>
      </c>
      <c r="AC40" s="531"/>
      <c r="AD40" s="586"/>
      <c r="AE40" s="316" t="s">
        <v>826</v>
      </c>
      <c r="AF40" s="316" t="s">
        <v>827</v>
      </c>
      <c r="AG40" s="254">
        <v>42766</v>
      </c>
      <c r="AH40" s="316" t="s">
        <v>937</v>
      </c>
      <c r="AI40" s="64" t="str">
        <f>IFERROR(VLOOKUP(Camp_List[[#This Row],[Responsible Agency]],Organization_t[],3,0),"")</f>
        <v/>
      </c>
      <c r="AJ40" s="470">
        <f ca="1">IF((SUMIFS(Data_Shelter_t[Coverage],Data_Shelter_t[Pcode],Camp_List[[#This Row],[P_Code]]))&gt;1,1,SUMIFS(Data_Shelter_t[Coverage],Data_Shelter_t[Pcode],Camp_List[[#This Row],[P_Code]]))</f>
        <v>1</v>
      </c>
      <c r="BL40" s="16"/>
      <c r="BM40" s="16"/>
      <c r="BP40" s="58"/>
      <c r="BQ40" s="58"/>
    </row>
    <row r="41" spans="1:69" ht="17.25" customHeight="1" x14ac:dyDescent="0.25">
      <c r="A41" s="580" t="s">
        <v>935</v>
      </c>
      <c r="B41" s="316" t="s">
        <v>7</v>
      </c>
      <c r="C41" s="316" t="s">
        <v>334</v>
      </c>
      <c r="D41" s="316" t="s">
        <v>18</v>
      </c>
      <c r="E41" s="316" t="s">
        <v>573</v>
      </c>
      <c r="F41" s="316" t="s">
        <v>18</v>
      </c>
      <c r="G41" s="316" t="s">
        <v>428</v>
      </c>
      <c r="H41" s="316" t="s">
        <v>954</v>
      </c>
      <c r="I41" s="316" t="s">
        <v>472</v>
      </c>
      <c r="J41" s="316" t="s">
        <v>954</v>
      </c>
      <c r="K41" s="316" t="s">
        <v>955</v>
      </c>
      <c r="L41" s="316" t="s">
        <v>101</v>
      </c>
      <c r="M41" s="316" t="s">
        <v>187</v>
      </c>
      <c r="N41" s="64">
        <v>92.362196999999995</v>
      </c>
      <c r="O41" s="64">
        <v>20.824777999999998</v>
      </c>
      <c r="P41" s="319"/>
      <c r="Q41" s="679">
        <v>17</v>
      </c>
      <c r="R41" s="678">
        <v>109</v>
      </c>
      <c r="S41" s="690">
        <v>6.166666666666667</v>
      </c>
      <c r="T41" s="522" t="s">
        <v>326</v>
      </c>
      <c r="U41" s="522" t="s">
        <v>705</v>
      </c>
      <c r="V41" s="522"/>
      <c r="W41" s="316"/>
      <c r="X41" s="316"/>
      <c r="Y41" s="316"/>
      <c r="Z41" s="316" t="s">
        <v>608</v>
      </c>
      <c r="AA41" s="316" t="str">
        <f>CONCATENATE(Camp_List[[#This Row],[Ethnicity]],"-",Camp_List[[#This Row],[Religion]])</f>
        <v>-Muslim</v>
      </c>
      <c r="AB41" s="253" t="s">
        <v>470</v>
      </c>
      <c r="AC41" s="316"/>
      <c r="AD41" s="582" t="s">
        <v>270</v>
      </c>
      <c r="AE41" s="316" t="s">
        <v>462</v>
      </c>
      <c r="AF41" s="316" t="s">
        <v>477</v>
      </c>
      <c r="AG41" s="254">
        <v>43190</v>
      </c>
      <c r="AH41" s="581" t="s">
        <v>945</v>
      </c>
      <c r="AI41" s="64" t="str">
        <f>IFERROR(VLOOKUP(Camp_List[[#This Row],[Responsible Agency]],Organization_t[],3,0),"")</f>
        <v>Richard Tracey, CCCM/NFI/Shelter Cluster Coordinator, tracey@unhcr.org,09448027896</v>
      </c>
      <c r="AJ41" s="470">
        <f>IF((SUMIFS(Data_Shelter_t[Coverage],Data_Shelter_t[Pcode],Camp_List[[#This Row],[P_Code]]))&gt;1,1,SUMIFS(Data_Shelter_t[Coverage],Data_Shelter_t[Pcode],Camp_List[[#This Row],[P_Code]]))</f>
        <v>0</v>
      </c>
      <c r="BL41" s="16"/>
      <c r="BM41" s="16"/>
      <c r="BP41" s="58"/>
      <c r="BQ41" s="58"/>
    </row>
    <row r="42" spans="1:69" ht="17.25" customHeight="1" x14ac:dyDescent="0.25">
      <c r="A42" s="515" t="s">
        <v>935</v>
      </c>
      <c r="B42" s="316" t="s">
        <v>7</v>
      </c>
      <c r="C42" s="316" t="s">
        <v>334</v>
      </c>
      <c r="D42" s="316" t="s">
        <v>17</v>
      </c>
      <c r="E42" s="316" t="s">
        <v>559</v>
      </c>
      <c r="F42" s="316" t="s">
        <v>14</v>
      </c>
      <c r="G42" s="316" t="s">
        <v>364</v>
      </c>
      <c r="H42" s="316" t="s">
        <v>371</v>
      </c>
      <c r="I42" s="316" t="s">
        <v>370</v>
      </c>
      <c r="J42" s="316" t="s">
        <v>371</v>
      </c>
      <c r="K42" s="316">
        <v>196946</v>
      </c>
      <c r="L42" s="316" t="s">
        <v>46</v>
      </c>
      <c r="M42" s="316" t="s">
        <v>132</v>
      </c>
      <c r="N42" s="64">
        <v>92.961841000000007</v>
      </c>
      <c r="O42" s="64">
        <v>20.720213000000001</v>
      </c>
      <c r="P42" s="316"/>
      <c r="Q42" s="679">
        <v>100</v>
      </c>
      <c r="R42" s="678">
        <v>559</v>
      </c>
      <c r="S42" s="690">
        <v>6.0760869565217392</v>
      </c>
      <c r="T42" s="522" t="s">
        <v>326</v>
      </c>
      <c r="U42" s="522"/>
      <c r="V42" s="606" t="s">
        <v>920</v>
      </c>
      <c r="W42" s="522" t="s">
        <v>810</v>
      </c>
      <c r="X42" s="316"/>
      <c r="Y42" s="316"/>
      <c r="Z42" s="316" t="s">
        <v>608</v>
      </c>
      <c r="AA42" s="523" t="str">
        <f>CONCATENATE(Camp_List[[#This Row],[Ethnicity]],"-",Camp_List[[#This Row],[Religion]])</f>
        <v>-Muslim</v>
      </c>
      <c r="AB42" s="316" t="s">
        <v>943</v>
      </c>
      <c r="AC42" s="316"/>
      <c r="AD42" s="585"/>
      <c r="AE42" s="316" t="s">
        <v>462</v>
      </c>
      <c r="AF42" s="316" t="s">
        <v>860</v>
      </c>
      <c r="AG42" s="254">
        <v>42766</v>
      </c>
      <c r="AH42" s="527" t="s">
        <v>922</v>
      </c>
      <c r="AI42" s="523" t="str">
        <f>IFERROR(VLOOKUP(Camp_List[[#This Row],[Responsible Agency]],Organization_t[],3,0),"")</f>
        <v/>
      </c>
      <c r="AJ42" s="530">
        <f ca="1">IF((SUMIFS(Data_Shelter_t[Coverage],Data_Shelter_t[Pcode],Camp_List[[#This Row],[P_Code]]))&gt;1,1,SUMIFS(Data_Shelter_t[Coverage],Data_Shelter_t[Pcode],Camp_List[[#This Row],[P_Code]]))</f>
        <v>1</v>
      </c>
      <c r="BL42" s="16"/>
      <c r="BM42" s="16"/>
      <c r="BP42" s="58"/>
      <c r="BQ42" s="58"/>
    </row>
    <row r="43" spans="1:69" ht="17.25" customHeight="1" x14ac:dyDescent="0.25">
      <c r="A43" s="515" t="s">
        <v>935</v>
      </c>
      <c r="B43" s="316" t="s">
        <v>7</v>
      </c>
      <c r="C43" s="316" t="s">
        <v>334</v>
      </c>
      <c r="D43" s="316" t="s">
        <v>17</v>
      </c>
      <c r="E43" s="316" t="s">
        <v>559</v>
      </c>
      <c r="F43" s="316" t="s">
        <v>14</v>
      </c>
      <c r="G43" s="316" t="s">
        <v>364</v>
      </c>
      <c r="H43" s="316" t="s">
        <v>377</v>
      </c>
      <c r="I43" s="316" t="s">
        <v>376</v>
      </c>
      <c r="J43" s="316" t="s">
        <v>44</v>
      </c>
      <c r="K43" s="316">
        <v>196786</v>
      </c>
      <c r="L43" s="316" t="s">
        <v>44</v>
      </c>
      <c r="M43" s="316" t="s">
        <v>130</v>
      </c>
      <c r="N43" s="64">
        <v>93.003204999999994</v>
      </c>
      <c r="O43" s="64">
        <v>20.921424999999999</v>
      </c>
      <c r="P43" s="316"/>
      <c r="Q43" s="679">
        <v>24</v>
      </c>
      <c r="R43" s="678">
        <v>140</v>
      </c>
      <c r="S43" s="690">
        <v>6.0869565217391308</v>
      </c>
      <c r="T43" s="522" t="s">
        <v>326</v>
      </c>
      <c r="U43" s="522"/>
      <c r="V43" s="606" t="s">
        <v>920</v>
      </c>
      <c r="W43" s="522" t="s">
        <v>810</v>
      </c>
      <c r="X43" s="316"/>
      <c r="Y43" s="316"/>
      <c r="Z43" s="316" t="s">
        <v>608</v>
      </c>
      <c r="AA43" s="523" t="str">
        <f>CONCATENATE(Camp_List[[#This Row],[Ethnicity]],"-",Camp_List[[#This Row],[Religion]])</f>
        <v>-Muslim</v>
      </c>
      <c r="AB43" s="316" t="s">
        <v>943</v>
      </c>
      <c r="AC43" s="316"/>
      <c r="AD43" s="585"/>
      <c r="AE43" s="316" t="s">
        <v>462</v>
      </c>
      <c r="AF43" s="316" t="s">
        <v>477</v>
      </c>
      <c r="AG43" s="254">
        <v>42766</v>
      </c>
      <c r="AH43" s="527" t="s">
        <v>922</v>
      </c>
      <c r="AI43" s="523" t="str">
        <f>IFERROR(VLOOKUP(Camp_List[[#This Row],[Responsible Agency]],Organization_t[],3,0),"")</f>
        <v/>
      </c>
      <c r="AJ43" s="530">
        <f ca="1">IF((SUMIFS(Data_Shelter_t[Coverage],Data_Shelter_t[Pcode],Camp_List[[#This Row],[P_Code]]))&gt;1,1,SUMIFS(Data_Shelter_t[Coverage],Data_Shelter_t[Pcode],Camp_List[[#This Row],[P_Code]]))</f>
        <v>1</v>
      </c>
      <c r="BL43" s="16"/>
      <c r="BM43" s="16"/>
      <c r="BP43" s="58"/>
      <c r="BQ43" s="58"/>
    </row>
    <row r="44" spans="1:69" ht="17.25" customHeight="1" x14ac:dyDescent="0.25">
      <c r="A44" s="515" t="s">
        <v>935</v>
      </c>
      <c r="B44" s="316" t="s">
        <v>7</v>
      </c>
      <c r="C44" s="316" t="s">
        <v>334</v>
      </c>
      <c r="D44" s="316" t="s">
        <v>17</v>
      </c>
      <c r="E44" s="316" t="s">
        <v>559</v>
      </c>
      <c r="F44" s="316" t="s">
        <v>14</v>
      </c>
      <c r="G44" s="316" t="s">
        <v>364</v>
      </c>
      <c r="H44" s="316" t="s">
        <v>47</v>
      </c>
      <c r="I44" s="316" t="s">
        <v>380</v>
      </c>
      <c r="J44" s="316" t="s">
        <v>1160</v>
      </c>
      <c r="K44" s="316">
        <v>196842</v>
      </c>
      <c r="L44" s="316" t="s">
        <v>47</v>
      </c>
      <c r="M44" s="316" t="s">
        <v>133</v>
      </c>
      <c r="N44" s="64">
        <v>93.014349999999993</v>
      </c>
      <c r="O44" s="64">
        <v>20.896740000000001</v>
      </c>
      <c r="P44" s="316"/>
      <c r="Q44" s="679">
        <v>14</v>
      </c>
      <c r="R44" s="678">
        <v>84</v>
      </c>
      <c r="S44" s="690">
        <v>6</v>
      </c>
      <c r="T44" s="522" t="s">
        <v>326</v>
      </c>
      <c r="U44" s="522"/>
      <c r="V44" s="606" t="s">
        <v>920</v>
      </c>
      <c r="W44" s="522" t="s">
        <v>810</v>
      </c>
      <c r="X44" s="316"/>
      <c r="Y44" s="316"/>
      <c r="Z44" s="316" t="s">
        <v>608</v>
      </c>
      <c r="AA44" s="523" t="str">
        <f>CONCATENATE(Camp_List[[#This Row],[Ethnicity]],"-",Camp_List[[#This Row],[Religion]])</f>
        <v>-Muslim</v>
      </c>
      <c r="AB44" s="316" t="s">
        <v>943</v>
      </c>
      <c r="AC44" s="316"/>
      <c r="AD44" s="585"/>
      <c r="AE44" s="316" t="s">
        <v>462</v>
      </c>
      <c r="AF44" s="316" t="s">
        <v>477</v>
      </c>
      <c r="AG44" s="254">
        <v>42766</v>
      </c>
      <c r="AH44" s="527" t="s">
        <v>922</v>
      </c>
      <c r="AI44" s="523" t="str">
        <f>IFERROR(VLOOKUP(Camp_List[[#This Row],[Responsible Agency]],Organization_t[],3,0),"")</f>
        <v/>
      </c>
      <c r="AJ44" s="530">
        <f ca="1">IF((SUMIFS(Data_Shelter_t[Coverage],Data_Shelter_t[Pcode],Camp_List[[#This Row],[P_Code]]))&gt;1,1,SUMIFS(Data_Shelter_t[Coverage],Data_Shelter_t[Pcode],Camp_List[[#This Row],[P_Code]]))</f>
        <v>1</v>
      </c>
      <c r="BL44" s="16"/>
      <c r="BM44" s="16"/>
      <c r="BP44" s="58"/>
      <c r="BQ44" s="58"/>
    </row>
    <row r="45" spans="1:69" ht="17.25" customHeight="1" x14ac:dyDescent="0.25">
      <c r="A45" s="515" t="s">
        <v>935</v>
      </c>
      <c r="B45" s="316" t="s">
        <v>7</v>
      </c>
      <c r="C45" s="316" t="s">
        <v>334</v>
      </c>
      <c r="D45" s="316" t="s">
        <v>17</v>
      </c>
      <c r="E45" s="316" t="s">
        <v>559</v>
      </c>
      <c r="F45" s="316" t="s">
        <v>14</v>
      </c>
      <c r="G45" s="316" t="s">
        <v>364</v>
      </c>
      <c r="H45" s="316" t="s">
        <v>49</v>
      </c>
      <c r="I45" s="316" t="s">
        <v>369</v>
      </c>
      <c r="J45" s="316" t="s">
        <v>1165</v>
      </c>
      <c r="K45" s="316">
        <v>196972</v>
      </c>
      <c r="L45" s="316" t="s">
        <v>49</v>
      </c>
      <c r="M45" s="316" t="s">
        <v>135</v>
      </c>
      <c r="N45" s="64">
        <v>93.014089999999996</v>
      </c>
      <c r="O45" s="64">
        <v>20.713259999999998</v>
      </c>
      <c r="P45" s="316"/>
      <c r="Q45" s="679">
        <v>116</v>
      </c>
      <c r="R45" s="678">
        <v>802</v>
      </c>
      <c r="S45" s="690">
        <v>6.8879310344827589</v>
      </c>
      <c r="T45" s="522" t="s">
        <v>326</v>
      </c>
      <c r="U45" s="522"/>
      <c r="V45" s="606" t="s">
        <v>920</v>
      </c>
      <c r="W45" s="522" t="s">
        <v>810</v>
      </c>
      <c r="X45" s="316"/>
      <c r="Y45" s="316"/>
      <c r="Z45" s="316" t="s">
        <v>608</v>
      </c>
      <c r="AA45" s="523" t="str">
        <f>CONCATENATE(Camp_List[[#This Row],[Ethnicity]],"-",Camp_List[[#This Row],[Religion]])</f>
        <v>-Muslim</v>
      </c>
      <c r="AB45" s="316" t="s">
        <v>943</v>
      </c>
      <c r="AC45" s="316"/>
      <c r="AD45" s="585"/>
      <c r="AE45" s="316" t="s">
        <v>462</v>
      </c>
      <c r="AF45" s="316" t="s">
        <v>860</v>
      </c>
      <c r="AG45" s="254">
        <v>42766</v>
      </c>
      <c r="AH45" s="527" t="s">
        <v>922</v>
      </c>
      <c r="AI45" s="523" t="str">
        <f>IFERROR(VLOOKUP(Camp_List[[#This Row],[Responsible Agency]],Organization_t[],3,0),"")</f>
        <v/>
      </c>
      <c r="AJ45" s="530">
        <f ca="1">IF((SUMIFS(Data_Shelter_t[Coverage],Data_Shelter_t[Pcode],Camp_List[[#This Row],[P_Code]]))&gt;1,1,SUMIFS(Data_Shelter_t[Coverage],Data_Shelter_t[Pcode],Camp_List[[#This Row],[P_Code]]))</f>
        <v>1</v>
      </c>
      <c r="BL45" s="16"/>
      <c r="BM45" s="16"/>
      <c r="BP45" s="58"/>
      <c r="BQ45" s="58"/>
    </row>
    <row r="46" spans="1:69" ht="17.25" customHeight="1" x14ac:dyDescent="0.25">
      <c r="A46" s="515" t="s">
        <v>935</v>
      </c>
      <c r="B46" s="316" t="s">
        <v>7</v>
      </c>
      <c r="C46" s="316" t="s">
        <v>334</v>
      </c>
      <c r="D46" s="316" t="s">
        <v>17</v>
      </c>
      <c r="E46" s="316" t="s">
        <v>559</v>
      </c>
      <c r="F46" s="316" t="s">
        <v>14</v>
      </c>
      <c r="G46" s="316" t="s">
        <v>364</v>
      </c>
      <c r="H46" s="316" t="s">
        <v>366</v>
      </c>
      <c r="I46" s="316" t="s">
        <v>365</v>
      </c>
      <c r="J46" s="316" t="s">
        <v>48</v>
      </c>
      <c r="K46" s="316">
        <v>196945</v>
      </c>
      <c r="L46" s="316" t="s">
        <v>48</v>
      </c>
      <c r="M46" s="316" t="s">
        <v>134</v>
      </c>
      <c r="N46" s="64">
        <v>93.009900000000002</v>
      </c>
      <c r="O46" s="64">
        <v>20.696819999999999</v>
      </c>
      <c r="P46" s="316"/>
      <c r="Q46" s="679">
        <v>236</v>
      </c>
      <c r="R46" s="678">
        <v>1524</v>
      </c>
      <c r="S46" s="690">
        <v>6.4576271186440675</v>
      </c>
      <c r="T46" s="522" t="s">
        <v>326</v>
      </c>
      <c r="U46" s="522"/>
      <c r="V46" s="606" t="s">
        <v>920</v>
      </c>
      <c r="W46" s="522" t="s">
        <v>810</v>
      </c>
      <c r="X46" s="316"/>
      <c r="Y46" s="316"/>
      <c r="Z46" s="316" t="s">
        <v>608</v>
      </c>
      <c r="AA46" s="523" t="str">
        <f>CONCATENATE(Camp_List[[#This Row],[Ethnicity]],"-",Camp_List[[#This Row],[Religion]])</f>
        <v>-Muslim</v>
      </c>
      <c r="AB46" s="316" t="s">
        <v>943</v>
      </c>
      <c r="AC46" s="316"/>
      <c r="AD46" s="585"/>
      <c r="AE46" s="316" t="s">
        <v>462</v>
      </c>
      <c r="AF46" s="316" t="s">
        <v>860</v>
      </c>
      <c r="AG46" s="254">
        <v>42766</v>
      </c>
      <c r="AH46" s="527" t="s">
        <v>922</v>
      </c>
      <c r="AI46" s="523" t="str">
        <f>IFERROR(VLOOKUP(Camp_List[[#This Row],[Responsible Agency]],Organization_t[],3,0),"")</f>
        <v/>
      </c>
      <c r="AJ46" s="530">
        <f ca="1">IF((SUMIFS(Data_Shelter_t[Coverage],Data_Shelter_t[Pcode],Camp_List[[#This Row],[P_Code]]))&gt;1,1,SUMIFS(Data_Shelter_t[Coverage],Data_Shelter_t[Pcode],Camp_List[[#This Row],[P_Code]]))</f>
        <v>1</v>
      </c>
      <c r="BL46" s="16"/>
      <c r="BM46" s="16"/>
      <c r="BP46" s="58"/>
      <c r="BQ46" s="58"/>
    </row>
    <row r="47" spans="1:69" ht="17.25" customHeight="1" x14ac:dyDescent="0.25">
      <c r="A47" s="515" t="s">
        <v>935</v>
      </c>
      <c r="B47" s="316" t="s">
        <v>7</v>
      </c>
      <c r="C47" s="316" t="s">
        <v>334</v>
      </c>
      <c r="D47" s="316" t="s">
        <v>17</v>
      </c>
      <c r="E47" s="316" t="s">
        <v>559</v>
      </c>
      <c r="F47" s="316" t="s">
        <v>14</v>
      </c>
      <c r="G47" s="316" t="s">
        <v>364</v>
      </c>
      <c r="H47" s="316" t="s">
        <v>379</v>
      </c>
      <c r="I47" s="316" t="s">
        <v>378</v>
      </c>
      <c r="J47" s="316" t="s">
        <v>443</v>
      </c>
      <c r="K47" s="316">
        <v>196873</v>
      </c>
      <c r="L47" s="316" t="s">
        <v>42</v>
      </c>
      <c r="M47" s="316" t="s">
        <v>128</v>
      </c>
      <c r="N47" s="64">
        <v>92.982675999999998</v>
      </c>
      <c r="O47" s="64">
        <v>20.805734000000001</v>
      </c>
      <c r="P47" s="316"/>
      <c r="Q47" s="679">
        <v>18</v>
      </c>
      <c r="R47" s="678">
        <v>157</v>
      </c>
      <c r="S47" s="690">
        <v>8.7222222222222214</v>
      </c>
      <c r="T47" s="522" t="s">
        <v>326</v>
      </c>
      <c r="U47" s="522"/>
      <c r="V47" s="606" t="s">
        <v>920</v>
      </c>
      <c r="W47" s="522" t="s">
        <v>810</v>
      </c>
      <c r="X47" s="316"/>
      <c r="Y47" s="316"/>
      <c r="Z47" s="316" t="s">
        <v>608</v>
      </c>
      <c r="AA47" s="523" t="str">
        <f>CONCATENATE(Camp_List[[#This Row],[Ethnicity]],"-",Camp_List[[#This Row],[Religion]])</f>
        <v>-Muslim</v>
      </c>
      <c r="AB47" s="316" t="s">
        <v>943</v>
      </c>
      <c r="AC47" s="316"/>
      <c r="AD47" s="585"/>
      <c r="AE47" s="316" t="s">
        <v>462</v>
      </c>
      <c r="AF47" s="316" t="s">
        <v>477</v>
      </c>
      <c r="AG47" s="254">
        <v>42766</v>
      </c>
      <c r="AH47" s="527" t="s">
        <v>922</v>
      </c>
      <c r="AI47" s="523" t="str">
        <f>IFERROR(VLOOKUP(Camp_List[[#This Row],[Responsible Agency]],Organization_t[],3,0),"")</f>
        <v/>
      </c>
      <c r="AJ47" s="530">
        <f ca="1">IF((SUMIFS(Data_Shelter_t[Coverage],Data_Shelter_t[Pcode],Camp_List[[#This Row],[P_Code]]))&gt;1,1,SUMIFS(Data_Shelter_t[Coverage],Data_Shelter_t[Pcode],Camp_List[[#This Row],[P_Code]]))</f>
        <v>1</v>
      </c>
      <c r="BL47" s="16"/>
      <c r="BM47" s="16"/>
      <c r="BP47" s="58"/>
      <c r="BQ47" s="58"/>
    </row>
    <row r="48" spans="1:69" ht="17.25" customHeight="1" x14ac:dyDescent="0.25">
      <c r="A48" s="515" t="s">
        <v>935</v>
      </c>
      <c r="B48" s="316" t="s">
        <v>7</v>
      </c>
      <c r="C48" s="316" t="s">
        <v>334</v>
      </c>
      <c r="D48" s="316" t="s">
        <v>17</v>
      </c>
      <c r="E48" s="316" t="s">
        <v>559</v>
      </c>
      <c r="F48" s="316" t="s">
        <v>14</v>
      </c>
      <c r="G48" s="316" t="s">
        <v>364</v>
      </c>
      <c r="H48" s="316" t="s">
        <v>373</v>
      </c>
      <c r="I48" s="316" t="s">
        <v>372</v>
      </c>
      <c r="J48" s="316" t="s">
        <v>1161</v>
      </c>
      <c r="K48" s="316">
        <v>196868</v>
      </c>
      <c r="L48" s="316" t="s">
        <v>51</v>
      </c>
      <c r="M48" s="316" t="s">
        <v>137</v>
      </c>
      <c r="N48" s="64">
        <v>92.987399999999994</v>
      </c>
      <c r="O48" s="64">
        <v>20.78332</v>
      </c>
      <c r="P48" s="316"/>
      <c r="Q48" s="679">
        <v>144</v>
      </c>
      <c r="R48" s="678">
        <v>1006</v>
      </c>
      <c r="S48" s="690">
        <v>7.1388888888888893</v>
      </c>
      <c r="T48" s="522" t="s">
        <v>326</v>
      </c>
      <c r="U48" s="522"/>
      <c r="V48" s="606" t="s">
        <v>920</v>
      </c>
      <c r="W48" s="522" t="s">
        <v>810</v>
      </c>
      <c r="X48" s="316"/>
      <c r="Y48" s="316"/>
      <c r="Z48" s="316" t="s">
        <v>608</v>
      </c>
      <c r="AA48" s="523" t="str">
        <f>CONCATENATE(Camp_List[[#This Row],[Ethnicity]],"-",Camp_List[[#This Row],[Religion]])</f>
        <v>-Muslim</v>
      </c>
      <c r="AB48" s="316" t="s">
        <v>943</v>
      </c>
      <c r="AC48" s="316"/>
      <c r="AD48" s="585"/>
      <c r="AE48" s="316" t="s">
        <v>462</v>
      </c>
      <c r="AF48" s="316" t="s">
        <v>860</v>
      </c>
      <c r="AG48" s="254">
        <v>42766</v>
      </c>
      <c r="AH48" s="527" t="s">
        <v>922</v>
      </c>
      <c r="AI48" s="523" t="str">
        <f>IFERROR(VLOOKUP(Camp_List[[#This Row],[Responsible Agency]],Organization_t[],3,0),"")</f>
        <v/>
      </c>
      <c r="AJ48" s="530">
        <f ca="1">IF((SUMIFS(Data_Shelter_t[Coverage],Data_Shelter_t[Pcode],Camp_List[[#This Row],[P_Code]]))&gt;1,1,SUMIFS(Data_Shelter_t[Coverage],Data_Shelter_t[Pcode],Camp_List[[#This Row],[P_Code]]))</f>
        <v>1</v>
      </c>
      <c r="BL48" s="16"/>
      <c r="BM48" s="16"/>
      <c r="BP48" s="58"/>
      <c r="BQ48" s="58"/>
    </row>
    <row r="49" spans="1:69" ht="17.25" customHeight="1" x14ac:dyDescent="0.25">
      <c r="A49" s="515" t="s">
        <v>935</v>
      </c>
      <c r="B49" s="316" t="s">
        <v>7</v>
      </c>
      <c r="C49" s="316" t="s">
        <v>334</v>
      </c>
      <c r="D49" s="316" t="s">
        <v>17</v>
      </c>
      <c r="E49" s="316" t="s">
        <v>559</v>
      </c>
      <c r="F49" s="316" t="s">
        <v>14</v>
      </c>
      <c r="G49" s="316" t="s">
        <v>364</v>
      </c>
      <c r="H49" s="316" t="s">
        <v>377</v>
      </c>
      <c r="I49" s="316" t="s">
        <v>376</v>
      </c>
      <c r="J49" s="316" t="s">
        <v>1162</v>
      </c>
      <c r="K49" s="316">
        <v>196789</v>
      </c>
      <c r="L49" s="316" t="s">
        <v>43</v>
      </c>
      <c r="M49" s="316" t="s">
        <v>129</v>
      </c>
      <c r="N49" s="64">
        <v>93.000815000000003</v>
      </c>
      <c r="O49" s="64">
        <v>20.929649000000001</v>
      </c>
      <c r="P49" s="316"/>
      <c r="Q49" s="679">
        <v>63</v>
      </c>
      <c r="R49" s="678">
        <v>414</v>
      </c>
      <c r="S49" s="690">
        <v>6.67741935483871</v>
      </c>
      <c r="T49" s="522" t="s">
        <v>326</v>
      </c>
      <c r="U49" s="522"/>
      <c r="V49" s="606" t="s">
        <v>920</v>
      </c>
      <c r="W49" s="522" t="s">
        <v>810</v>
      </c>
      <c r="X49" s="316"/>
      <c r="Y49" s="316"/>
      <c r="Z49" s="316" t="s">
        <v>608</v>
      </c>
      <c r="AA49" s="523" t="str">
        <f>CONCATENATE(Camp_List[[#This Row],[Ethnicity]],"-",Camp_List[[#This Row],[Religion]])</f>
        <v>-Muslim</v>
      </c>
      <c r="AB49" s="316" t="s">
        <v>943</v>
      </c>
      <c r="AC49" s="316"/>
      <c r="AD49" s="585"/>
      <c r="AE49" s="316" t="s">
        <v>462</v>
      </c>
      <c r="AF49" s="316" t="s">
        <v>477</v>
      </c>
      <c r="AG49" s="254">
        <v>42766</v>
      </c>
      <c r="AH49" s="527" t="s">
        <v>922</v>
      </c>
      <c r="AI49" s="523" t="str">
        <f>IFERROR(VLOOKUP(Camp_List[[#This Row],[Responsible Agency]],Organization_t[],3,0),"")</f>
        <v/>
      </c>
      <c r="AJ49" s="530">
        <f ca="1">IF((SUMIFS(Data_Shelter_t[Coverage],Data_Shelter_t[Pcode],Camp_List[[#This Row],[P_Code]]))&gt;1,1,SUMIFS(Data_Shelter_t[Coverage],Data_Shelter_t[Pcode],Camp_List[[#This Row],[P_Code]]))</f>
        <v>1</v>
      </c>
      <c r="BL49" s="16"/>
      <c r="BM49" s="16"/>
      <c r="BP49" s="58"/>
      <c r="BQ49" s="58"/>
    </row>
    <row r="50" spans="1:69" ht="17.25" customHeight="1" x14ac:dyDescent="0.25">
      <c r="A50" s="515" t="s">
        <v>935</v>
      </c>
      <c r="B50" s="316" t="s">
        <v>7</v>
      </c>
      <c r="C50" s="316" t="s">
        <v>334</v>
      </c>
      <c r="D50" s="316" t="s">
        <v>17</v>
      </c>
      <c r="E50" s="316" t="s">
        <v>559</v>
      </c>
      <c r="F50" s="316" t="s">
        <v>14</v>
      </c>
      <c r="G50" s="316" t="s">
        <v>364</v>
      </c>
      <c r="H50" s="316" t="s">
        <v>371</v>
      </c>
      <c r="I50" s="316" t="s">
        <v>370</v>
      </c>
      <c r="J50" s="316" t="s">
        <v>50</v>
      </c>
      <c r="K50" s="316">
        <v>196952</v>
      </c>
      <c r="L50" s="316" t="s">
        <v>50</v>
      </c>
      <c r="M50" s="316" t="s">
        <v>136</v>
      </c>
      <c r="N50" s="64">
        <v>92.969350000000006</v>
      </c>
      <c r="O50" s="64">
        <v>20.727589999999999</v>
      </c>
      <c r="P50" s="316"/>
      <c r="Q50" s="679">
        <v>112</v>
      </c>
      <c r="R50" s="678">
        <v>738</v>
      </c>
      <c r="S50" s="690">
        <v>6.5625</v>
      </c>
      <c r="T50" s="522" t="s">
        <v>326</v>
      </c>
      <c r="U50" s="522"/>
      <c r="V50" s="606" t="s">
        <v>920</v>
      </c>
      <c r="W50" s="522" t="s">
        <v>810</v>
      </c>
      <c r="X50" s="316"/>
      <c r="Y50" s="316"/>
      <c r="Z50" s="316" t="s">
        <v>608</v>
      </c>
      <c r="AA50" s="523" t="str">
        <f>CONCATENATE(Camp_List[[#This Row],[Ethnicity]],"-",Camp_List[[#This Row],[Religion]])</f>
        <v>-Muslim</v>
      </c>
      <c r="AB50" s="316" t="s">
        <v>943</v>
      </c>
      <c r="AC50" s="316"/>
      <c r="AD50" s="585"/>
      <c r="AE50" s="316" t="s">
        <v>462</v>
      </c>
      <c r="AF50" s="316" t="s">
        <v>860</v>
      </c>
      <c r="AG50" s="254">
        <v>42766</v>
      </c>
      <c r="AH50" s="527" t="s">
        <v>922</v>
      </c>
      <c r="AI50" s="523" t="str">
        <f>IFERROR(VLOOKUP(Camp_List[[#This Row],[Responsible Agency]],Organization_t[],3,0),"")</f>
        <v/>
      </c>
      <c r="AJ50" s="530">
        <f ca="1">IF((SUMIFS(Data_Shelter_t[Coverage],Data_Shelter_t[Pcode],Camp_List[[#This Row],[P_Code]]))&gt;1,1,SUMIFS(Data_Shelter_t[Coverage],Data_Shelter_t[Pcode],Camp_List[[#This Row],[P_Code]]))</f>
        <v>1</v>
      </c>
      <c r="BL50" s="16"/>
      <c r="BM50" s="16"/>
      <c r="BP50" s="58"/>
      <c r="BQ50" s="58"/>
    </row>
    <row r="51" spans="1:69" ht="17.25" customHeight="1" x14ac:dyDescent="0.25">
      <c r="A51" s="515" t="s">
        <v>935</v>
      </c>
      <c r="B51" s="316" t="s">
        <v>7</v>
      </c>
      <c r="C51" s="316" t="s">
        <v>334</v>
      </c>
      <c r="D51" s="316" t="s">
        <v>17</v>
      </c>
      <c r="E51" s="316" t="s">
        <v>559</v>
      </c>
      <c r="F51" s="316" t="s">
        <v>11</v>
      </c>
      <c r="G51" s="316" t="s">
        <v>335</v>
      </c>
      <c r="H51" s="316" t="s">
        <v>511</v>
      </c>
      <c r="I51" s="316" t="s">
        <v>512</v>
      </c>
      <c r="J51" s="316" t="s">
        <v>1166</v>
      </c>
      <c r="K51" s="316">
        <v>197023</v>
      </c>
      <c r="L51" s="316" t="s">
        <v>513</v>
      </c>
      <c r="M51" s="316" t="s">
        <v>514</v>
      </c>
      <c r="N51" s="64">
        <v>93.314695</v>
      </c>
      <c r="O51" s="64">
        <v>20.409645000000001</v>
      </c>
      <c r="P51" s="316"/>
      <c r="Q51" s="679">
        <v>18</v>
      </c>
      <c r="R51" s="678">
        <v>72</v>
      </c>
      <c r="S51" s="690">
        <v>4</v>
      </c>
      <c r="T51" s="522" t="s">
        <v>326</v>
      </c>
      <c r="U51" s="522"/>
      <c r="V51" s="522" t="s">
        <v>920</v>
      </c>
      <c r="W51" s="318" t="s">
        <v>811</v>
      </c>
      <c r="X51" s="316"/>
      <c r="Y51" s="518" t="s">
        <v>7</v>
      </c>
      <c r="Z51" s="518" t="s">
        <v>708</v>
      </c>
      <c r="AA51" s="518" t="str">
        <f>CONCATENATE(Camp_List[[#This Row],[Ethnicity]],"-",Camp_List[[#This Row],[Religion]])</f>
        <v>Rakhine-Buddhist</v>
      </c>
      <c r="AB51" s="518" t="s">
        <v>943</v>
      </c>
      <c r="AC51" s="316"/>
      <c r="AD51" s="582"/>
      <c r="AE51" s="316" t="s">
        <v>462</v>
      </c>
      <c r="AF51" s="316" t="s">
        <v>477</v>
      </c>
      <c r="AG51" s="254">
        <v>42766</v>
      </c>
      <c r="AH51" s="316" t="s">
        <v>922</v>
      </c>
      <c r="AI51" s="64" t="str">
        <f>IFERROR(VLOOKUP(Camp_List[[#This Row],[Responsible Agency]],Organization_t[],3,0),"")</f>
        <v/>
      </c>
      <c r="AJ51" s="470">
        <f ca="1">IF((SUMIFS(Data_Shelter_t[Coverage],Data_Shelter_t[Pcode],Camp_List[[#This Row],[P_Code]]))&gt;1,1,SUMIFS(Data_Shelter_t[Coverage],Data_Shelter_t[Pcode],Camp_List[[#This Row],[P_Code]]))</f>
        <v>1</v>
      </c>
      <c r="BL51" s="16"/>
      <c r="BM51" s="16"/>
      <c r="BP51" s="58"/>
      <c r="BQ51" s="58"/>
    </row>
    <row r="52" spans="1:69" ht="17.25" customHeight="1" x14ac:dyDescent="0.25">
      <c r="A52" s="515" t="s">
        <v>935</v>
      </c>
      <c r="B52" s="316" t="s">
        <v>7</v>
      </c>
      <c r="C52" s="316" t="s">
        <v>334</v>
      </c>
      <c r="D52" s="316" t="s">
        <v>17</v>
      </c>
      <c r="E52" s="316" t="s">
        <v>559</v>
      </c>
      <c r="F52" s="316" t="s">
        <v>11</v>
      </c>
      <c r="G52" s="316" t="s">
        <v>335</v>
      </c>
      <c r="H52" s="316" t="s">
        <v>345</v>
      </c>
      <c r="I52" s="316" t="s">
        <v>344</v>
      </c>
      <c r="J52" s="316" t="s">
        <v>28</v>
      </c>
      <c r="K52" s="316">
        <v>197150</v>
      </c>
      <c r="L52" s="316" t="s">
        <v>28</v>
      </c>
      <c r="M52" s="316" t="s">
        <v>114</v>
      </c>
      <c r="N52" s="64">
        <v>93.299485000000004</v>
      </c>
      <c r="O52" s="64">
        <v>20.480898</v>
      </c>
      <c r="P52" s="316"/>
      <c r="Q52" s="679">
        <v>87</v>
      </c>
      <c r="R52" s="678">
        <v>444</v>
      </c>
      <c r="S52" s="690">
        <v>5.7674418604651159</v>
      </c>
      <c r="T52" s="522" t="s">
        <v>326</v>
      </c>
      <c r="U52" s="522"/>
      <c r="V52" s="606" t="s">
        <v>920</v>
      </c>
      <c r="W52" s="522" t="s">
        <v>810</v>
      </c>
      <c r="X52" s="316"/>
      <c r="Y52" s="316"/>
      <c r="Z52" s="316" t="s">
        <v>608</v>
      </c>
      <c r="AA52" s="523" t="str">
        <f>CONCATENATE(Camp_List[[#This Row],[Ethnicity]],"-",Camp_List[[#This Row],[Religion]])</f>
        <v>-Muslim</v>
      </c>
      <c r="AB52" s="518" t="s">
        <v>943</v>
      </c>
      <c r="AC52" s="316"/>
      <c r="AD52" s="585"/>
      <c r="AE52" s="316" t="s">
        <v>462</v>
      </c>
      <c r="AF52" s="316" t="s">
        <v>860</v>
      </c>
      <c r="AG52" s="254">
        <v>42766</v>
      </c>
      <c r="AH52" s="527" t="s">
        <v>922</v>
      </c>
      <c r="AI52" s="523" t="str">
        <f>IFERROR(VLOOKUP(Camp_List[[#This Row],[Responsible Agency]],Organization_t[],3,0),"")</f>
        <v/>
      </c>
      <c r="AJ52" s="530">
        <f ca="1">IF((SUMIFS(Data_Shelter_t[Coverage],Data_Shelter_t[Pcode],Camp_List[[#This Row],[P_Code]]))&gt;1,1,SUMIFS(Data_Shelter_t[Coverage],Data_Shelter_t[Pcode],Camp_List[[#This Row],[P_Code]]))</f>
        <v>1</v>
      </c>
      <c r="BL52" s="16"/>
      <c r="BM52" s="16"/>
      <c r="BP52" s="58"/>
      <c r="BQ52" s="58"/>
    </row>
    <row r="53" spans="1:69" ht="17.25" customHeight="1" x14ac:dyDescent="0.25">
      <c r="A53" s="515" t="s">
        <v>935</v>
      </c>
      <c r="B53" s="316" t="s">
        <v>7</v>
      </c>
      <c r="C53" s="316" t="s">
        <v>334</v>
      </c>
      <c r="D53" s="316" t="s">
        <v>17</v>
      </c>
      <c r="E53" s="316" t="s">
        <v>559</v>
      </c>
      <c r="F53" s="316" t="s">
        <v>11</v>
      </c>
      <c r="G53" s="316" t="s">
        <v>335</v>
      </c>
      <c r="H53" s="316" t="s">
        <v>341</v>
      </c>
      <c r="I53" s="316" t="s">
        <v>340</v>
      </c>
      <c r="J53" s="316" t="s">
        <v>341</v>
      </c>
      <c r="K53" s="316">
        <v>196984</v>
      </c>
      <c r="L53" s="316" t="s">
        <v>23</v>
      </c>
      <c r="M53" s="316" t="s">
        <v>109</v>
      </c>
      <c r="N53" s="64">
        <v>93.271642</v>
      </c>
      <c r="O53" s="64">
        <v>20.377523</v>
      </c>
      <c r="P53" s="316"/>
      <c r="Q53" s="679">
        <v>19</v>
      </c>
      <c r="R53" s="678">
        <v>142</v>
      </c>
      <c r="S53" s="690">
        <v>7.4736842105263159</v>
      </c>
      <c r="T53" s="522" t="s">
        <v>326</v>
      </c>
      <c r="U53" s="522"/>
      <c r="V53" s="606" t="s">
        <v>920</v>
      </c>
      <c r="W53" s="522" t="s">
        <v>810</v>
      </c>
      <c r="X53" s="316"/>
      <c r="Y53" s="316"/>
      <c r="Z53" s="316" t="s">
        <v>608</v>
      </c>
      <c r="AA53" s="523" t="str">
        <f>CONCATENATE(Camp_List[[#This Row],[Ethnicity]],"-",Camp_List[[#This Row],[Religion]])</f>
        <v>-Muslim</v>
      </c>
      <c r="AB53" s="518" t="s">
        <v>943</v>
      </c>
      <c r="AC53" s="316"/>
      <c r="AD53" s="585"/>
      <c r="AE53" s="316" t="s">
        <v>462</v>
      </c>
      <c r="AF53" s="316" t="s">
        <v>477</v>
      </c>
      <c r="AG53" s="254">
        <v>42766</v>
      </c>
      <c r="AH53" s="527" t="s">
        <v>922</v>
      </c>
      <c r="AI53" s="523" t="str">
        <f>IFERROR(VLOOKUP(Camp_List[[#This Row],[Responsible Agency]],Organization_t[],3,0),"")</f>
        <v/>
      </c>
      <c r="AJ53" s="530">
        <f ca="1">IF((SUMIFS(Data_Shelter_t[Coverage],Data_Shelter_t[Pcode],Camp_List[[#This Row],[P_Code]]))&gt;1,1,SUMIFS(Data_Shelter_t[Coverage],Data_Shelter_t[Pcode],Camp_List[[#This Row],[P_Code]]))</f>
        <v>1</v>
      </c>
      <c r="BL53" s="16"/>
      <c r="BM53" s="16"/>
      <c r="BP53" s="58"/>
      <c r="BQ53" s="58"/>
    </row>
    <row r="54" spans="1:69" ht="17.25" customHeight="1" x14ac:dyDescent="0.25">
      <c r="A54" s="515" t="s">
        <v>935</v>
      </c>
      <c r="B54" s="316" t="s">
        <v>7</v>
      </c>
      <c r="C54" s="316" t="s">
        <v>334</v>
      </c>
      <c r="D54" s="316" t="s">
        <v>17</v>
      </c>
      <c r="E54" s="316" t="s">
        <v>559</v>
      </c>
      <c r="F54" s="316" t="s">
        <v>11</v>
      </c>
      <c r="G54" s="316" t="s">
        <v>335</v>
      </c>
      <c r="H54" s="316" t="s">
        <v>339</v>
      </c>
      <c r="I54" s="316" t="s">
        <v>338</v>
      </c>
      <c r="J54" s="316" t="s">
        <v>446</v>
      </c>
      <c r="K54" s="316">
        <v>197025</v>
      </c>
      <c r="L54" s="316" t="s">
        <v>30</v>
      </c>
      <c r="M54" s="316" t="s">
        <v>116</v>
      </c>
      <c r="N54" s="64">
        <v>93.313627999999994</v>
      </c>
      <c r="O54" s="64">
        <v>20.407971</v>
      </c>
      <c r="P54" s="316"/>
      <c r="Q54" s="679">
        <v>228</v>
      </c>
      <c r="R54" s="678">
        <v>1377</v>
      </c>
      <c r="S54" s="690">
        <v>5.8577777777777778</v>
      </c>
      <c r="T54" s="522" t="s">
        <v>326</v>
      </c>
      <c r="U54" s="522"/>
      <c r="V54" s="606" t="s">
        <v>920</v>
      </c>
      <c r="W54" s="522" t="s">
        <v>810</v>
      </c>
      <c r="X54" s="316"/>
      <c r="Y54" s="316"/>
      <c r="Z54" s="316" t="s">
        <v>608</v>
      </c>
      <c r="AA54" s="523" t="str">
        <f>CONCATENATE(Camp_List[[#This Row],[Ethnicity]],"-",Camp_List[[#This Row],[Religion]])</f>
        <v>-Muslim</v>
      </c>
      <c r="AB54" s="518" t="s">
        <v>943</v>
      </c>
      <c r="AC54" s="316"/>
      <c r="AD54" s="585"/>
      <c r="AE54" s="316" t="s">
        <v>462</v>
      </c>
      <c r="AF54" s="316" t="s">
        <v>860</v>
      </c>
      <c r="AG54" s="254">
        <v>42766</v>
      </c>
      <c r="AH54" s="527" t="s">
        <v>922</v>
      </c>
      <c r="AI54" s="523" t="str">
        <f>IFERROR(VLOOKUP(Camp_List[[#This Row],[Responsible Agency]],Organization_t[],3,0),"")</f>
        <v/>
      </c>
      <c r="AJ54" s="530">
        <f ca="1">IF((SUMIFS(Data_Shelter_t[Coverage],Data_Shelter_t[Pcode],Camp_List[[#This Row],[P_Code]]))&gt;1,1,SUMIFS(Data_Shelter_t[Coverage],Data_Shelter_t[Pcode],Camp_List[[#This Row],[P_Code]]))</f>
        <v>0.98245614035087714</v>
      </c>
      <c r="BL54" s="16"/>
      <c r="BM54" s="16"/>
      <c r="BP54" s="58"/>
      <c r="BQ54" s="58"/>
    </row>
    <row r="55" spans="1:69" ht="17.25" customHeight="1" x14ac:dyDescent="0.25">
      <c r="A55" s="515" t="s">
        <v>935</v>
      </c>
      <c r="B55" s="316" t="s">
        <v>7</v>
      </c>
      <c r="C55" s="316" t="s">
        <v>334</v>
      </c>
      <c r="D55" s="316" t="s">
        <v>17</v>
      </c>
      <c r="E55" s="316" t="s">
        <v>559</v>
      </c>
      <c r="F55" s="316" t="s">
        <v>11</v>
      </c>
      <c r="G55" s="316" t="s">
        <v>335</v>
      </c>
      <c r="H55" s="316" t="s">
        <v>343</v>
      </c>
      <c r="I55" s="316" t="s">
        <v>342</v>
      </c>
      <c r="J55" s="316" t="s">
        <v>25</v>
      </c>
      <c r="K55" s="316">
        <v>196995</v>
      </c>
      <c r="L55" s="316" t="s">
        <v>25</v>
      </c>
      <c r="M55" s="316" t="s">
        <v>111</v>
      </c>
      <c r="N55" s="64">
        <v>93.249669999999995</v>
      </c>
      <c r="O55" s="64">
        <v>20.39902</v>
      </c>
      <c r="P55" s="316"/>
      <c r="Q55" s="679">
        <v>86</v>
      </c>
      <c r="R55" s="678">
        <v>476</v>
      </c>
      <c r="S55" s="690">
        <v>6.058139534883721</v>
      </c>
      <c r="T55" s="522" t="s">
        <v>326</v>
      </c>
      <c r="U55" s="522"/>
      <c r="V55" s="606" t="s">
        <v>920</v>
      </c>
      <c r="W55" s="522" t="s">
        <v>810</v>
      </c>
      <c r="X55" s="316"/>
      <c r="Y55" s="316"/>
      <c r="Z55" s="316" t="s">
        <v>608</v>
      </c>
      <c r="AA55" s="523" t="str">
        <f>CONCATENATE(Camp_List[[#This Row],[Ethnicity]],"-",Camp_List[[#This Row],[Religion]])</f>
        <v>-Muslim</v>
      </c>
      <c r="AB55" s="518" t="s">
        <v>943</v>
      </c>
      <c r="AC55" s="316"/>
      <c r="AD55" s="585"/>
      <c r="AE55" s="316" t="s">
        <v>462</v>
      </c>
      <c r="AF55" s="316" t="s">
        <v>860</v>
      </c>
      <c r="AG55" s="254">
        <v>42766</v>
      </c>
      <c r="AH55" s="527" t="s">
        <v>922</v>
      </c>
      <c r="AI55" s="523" t="str">
        <f>IFERROR(VLOOKUP(Camp_List[[#This Row],[Responsible Agency]],Organization_t[],3,0),"")</f>
        <v/>
      </c>
      <c r="AJ55" s="530">
        <f ca="1">IF((SUMIFS(Data_Shelter_t[Coverage],Data_Shelter_t[Pcode],Camp_List[[#This Row],[P_Code]]))&gt;1,1,SUMIFS(Data_Shelter_t[Coverage],Data_Shelter_t[Pcode],Camp_List[[#This Row],[P_Code]]))</f>
        <v>1</v>
      </c>
      <c r="BL55" s="16"/>
      <c r="BM55" s="16"/>
      <c r="BP55" s="58"/>
      <c r="BQ55" s="58"/>
    </row>
    <row r="56" spans="1:69" ht="17.25" customHeight="1" x14ac:dyDescent="0.25">
      <c r="A56" s="515" t="s">
        <v>935</v>
      </c>
      <c r="B56" s="316" t="s">
        <v>7</v>
      </c>
      <c r="C56" s="316" t="s">
        <v>334</v>
      </c>
      <c r="D56" s="316" t="s">
        <v>17</v>
      </c>
      <c r="E56" s="316" t="s">
        <v>559</v>
      </c>
      <c r="F56" s="316" t="s">
        <v>11</v>
      </c>
      <c r="G56" s="316" t="s">
        <v>335</v>
      </c>
      <c r="H56" s="316" t="s">
        <v>341</v>
      </c>
      <c r="I56" s="316" t="s">
        <v>340</v>
      </c>
      <c r="J56" s="316" t="s">
        <v>447</v>
      </c>
      <c r="K56" s="316">
        <v>196997</v>
      </c>
      <c r="L56" s="316" t="s">
        <v>24</v>
      </c>
      <c r="M56" s="316" t="s">
        <v>110</v>
      </c>
      <c r="N56" s="64">
        <v>93.257272</v>
      </c>
      <c r="O56" s="64">
        <v>20.392137999999999</v>
      </c>
      <c r="P56" s="316"/>
      <c r="Q56" s="679">
        <v>203</v>
      </c>
      <c r="R56" s="678">
        <v>1420</v>
      </c>
      <c r="S56" s="690">
        <v>5.3529411764705879</v>
      </c>
      <c r="T56" s="522" t="s">
        <v>326</v>
      </c>
      <c r="U56" s="522"/>
      <c r="V56" s="606" t="s">
        <v>920</v>
      </c>
      <c r="W56" s="522" t="s">
        <v>810</v>
      </c>
      <c r="X56" s="316"/>
      <c r="Y56" s="316"/>
      <c r="Z56" s="316" t="s">
        <v>608</v>
      </c>
      <c r="AA56" s="523" t="str">
        <f>CONCATENATE(Camp_List[[#This Row],[Ethnicity]],"-",Camp_List[[#This Row],[Religion]])</f>
        <v>-Muslim</v>
      </c>
      <c r="AB56" s="518" t="s">
        <v>943</v>
      </c>
      <c r="AC56" s="316"/>
      <c r="AD56" s="585"/>
      <c r="AE56" s="316" t="s">
        <v>462</v>
      </c>
      <c r="AF56" s="316" t="s">
        <v>860</v>
      </c>
      <c r="AG56" s="254">
        <v>42766</v>
      </c>
      <c r="AH56" s="527" t="s">
        <v>922</v>
      </c>
      <c r="AI56" s="523" t="str">
        <f>IFERROR(VLOOKUP(Camp_List[[#This Row],[Responsible Agency]],Organization_t[],3,0),"")</f>
        <v/>
      </c>
      <c r="AJ56" s="530">
        <f ca="1">IF((SUMIFS(Data_Shelter_t[Coverage],Data_Shelter_t[Pcode],Camp_List[[#This Row],[P_Code]]))&gt;1,1,SUMIFS(Data_Shelter_t[Coverage],Data_Shelter_t[Pcode],Camp_List[[#This Row],[P_Code]]))</f>
        <v>1</v>
      </c>
      <c r="BL56" s="16"/>
      <c r="BM56" s="16"/>
      <c r="BP56" s="58"/>
      <c r="BQ56" s="58"/>
    </row>
    <row r="57" spans="1:69" ht="17.25" customHeight="1" x14ac:dyDescent="0.25">
      <c r="A57" s="515" t="s">
        <v>935</v>
      </c>
      <c r="B57" s="316" t="s">
        <v>7</v>
      </c>
      <c r="C57" s="316" t="s">
        <v>334</v>
      </c>
      <c r="D57" s="316" t="s">
        <v>17</v>
      </c>
      <c r="E57" s="316" t="s">
        <v>559</v>
      </c>
      <c r="F57" s="316" t="s">
        <v>11</v>
      </c>
      <c r="G57" s="316" t="s">
        <v>335</v>
      </c>
      <c r="H57" s="316" t="s">
        <v>337</v>
      </c>
      <c r="I57" s="316" t="s">
        <v>336</v>
      </c>
      <c r="J57" s="316" t="s">
        <v>337</v>
      </c>
      <c r="K57" s="316">
        <v>197062</v>
      </c>
      <c r="L57" s="316" t="s">
        <v>27</v>
      </c>
      <c r="M57" s="316" t="s">
        <v>113</v>
      </c>
      <c r="N57" s="64">
        <v>93.258573999999996</v>
      </c>
      <c r="O57" s="64">
        <v>20.587142</v>
      </c>
      <c r="P57" s="316"/>
      <c r="Q57" s="679">
        <v>275</v>
      </c>
      <c r="R57" s="678">
        <v>1707</v>
      </c>
      <c r="S57" s="690">
        <v>5.9527272727272731</v>
      </c>
      <c r="T57" s="522" t="s">
        <v>326</v>
      </c>
      <c r="U57" s="522"/>
      <c r="V57" s="606" t="s">
        <v>920</v>
      </c>
      <c r="W57" s="522" t="s">
        <v>810</v>
      </c>
      <c r="X57" s="316"/>
      <c r="Y57" s="316"/>
      <c r="Z57" s="316" t="s">
        <v>608</v>
      </c>
      <c r="AA57" s="523" t="str">
        <f>CONCATENATE(Camp_List[[#This Row],[Ethnicity]],"-",Camp_List[[#This Row],[Religion]])</f>
        <v>-Muslim</v>
      </c>
      <c r="AB57" s="518" t="s">
        <v>943</v>
      </c>
      <c r="AC57" s="316"/>
      <c r="AD57" s="585"/>
      <c r="AE57" s="316" t="s">
        <v>462</v>
      </c>
      <c r="AF57" s="316" t="s">
        <v>860</v>
      </c>
      <c r="AG57" s="254">
        <v>42766</v>
      </c>
      <c r="AH57" s="527" t="s">
        <v>922</v>
      </c>
      <c r="AI57" s="523" t="str">
        <f>IFERROR(VLOOKUP(Camp_List[[#This Row],[Responsible Agency]],Organization_t[],3,0),"")</f>
        <v/>
      </c>
      <c r="AJ57" s="530">
        <f ca="1">IF((SUMIFS(Data_Shelter_t[Coverage],Data_Shelter_t[Pcode],Camp_List[[#This Row],[P_Code]]))&gt;1,1,SUMIFS(Data_Shelter_t[Coverage],Data_Shelter_t[Pcode],Camp_List[[#This Row],[P_Code]]))</f>
        <v>1</v>
      </c>
      <c r="BL57" s="16"/>
      <c r="BM57" s="16"/>
      <c r="BP57" s="58"/>
      <c r="BQ57" s="58"/>
    </row>
    <row r="58" spans="1:69" ht="17.25" customHeight="1" x14ac:dyDescent="0.25">
      <c r="A58" s="515" t="s">
        <v>935</v>
      </c>
      <c r="B58" s="316" t="s">
        <v>7</v>
      </c>
      <c r="C58" s="316" t="s">
        <v>334</v>
      </c>
      <c r="D58" s="316" t="s">
        <v>17</v>
      </c>
      <c r="E58" s="316" t="s">
        <v>559</v>
      </c>
      <c r="F58" s="316" t="s">
        <v>932</v>
      </c>
      <c r="G58" s="316" t="s">
        <v>348</v>
      </c>
      <c r="H58" s="316" t="s">
        <v>351</v>
      </c>
      <c r="I58" s="316" t="s">
        <v>352</v>
      </c>
      <c r="J58" s="316" t="s">
        <v>351</v>
      </c>
      <c r="K58" s="316">
        <v>196428</v>
      </c>
      <c r="L58" s="316" t="s">
        <v>31</v>
      </c>
      <c r="M58" s="316" t="s">
        <v>117</v>
      </c>
      <c r="N58" s="64">
        <v>93.245551000000006</v>
      </c>
      <c r="O58" s="64">
        <v>20.576577</v>
      </c>
      <c r="P58" s="316"/>
      <c r="Q58" s="679">
        <v>204</v>
      </c>
      <c r="R58" s="678">
        <v>1265</v>
      </c>
      <c r="S58" s="690">
        <v>5.5245098039215685</v>
      </c>
      <c r="T58" s="522" t="s">
        <v>326</v>
      </c>
      <c r="U58" s="522"/>
      <c r="V58" s="606" t="s">
        <v>920</v>
      </c>
      <c r="W58" s="522" t="s">
        <v>810</v>
      </c>
      <c r="X58" s="316"/>
      <c r="Y58" s="316"/>
      <c r="Z58" s="316" t="s">
        <v>608</v>
      </c>
      <c r="AA58" s="523" t="str">
        <f>CONCATENATE(Camp_List[[#This Row],[Ethnicity]],"-",Camp_List[[#This Row],[Religion]])</f>
        <v>-Muslim</v>
      </c>
      <c r="AB58" s="518" t="s">
        <v>943</v>
      </c>
      <c r="AC58" s="316"/>
      <c r="AD58" s="585"/>
      <c r="AE58" s="316" t="s">
        <v>462</v>
      </c>
      <c r="AF58" s="316" t="s">
        <v>860</v>
      </c>
      <c r="AG58" s="254">
        <v>42766</v>
      </c>
      <c r="AH58" s="527" t="s">
        <v>922</v>
      </c>
      <c r="AI58" s="523" t="str">
        <f>IFERROR(VLOOKUP(Camp_List[[#This Row],[Responsible Agency]],Organization_t[],3,0),"")</f>
        <v/>
      </c>
      <c r="AJ58" s="530">
        <f ca="1">IF((SUMIFS(Data_Shelter_t[Coverage],Data_Shelter_t[Pcode],Camp_List[[#This Row],[P_Code]]))&gt;1,1,SUMIFS(Data_Shelter_t[Coverage],Data_Shelter_t[Pcode],Camp_List[[#This Row],[P_Code]]))</f>
        <v>1</v>
      </c>
      <c r="BL58" s="16"/>
      <c r="BM58" s="16"/>
      <c r="BP58" s="58"/>
      <c r="BQ58" s="58"/>
    </row>
    <row r="59" spans="1:69" ht="17.25" customHeight="1" x14ac:dyDescent="0.25">
      <c r="A59" s="515" t="s">
        <v>935</v>
      </c>
      <c r="B59" s="316" t="s">
        <v>7</v>
      </c>
      <c r="C59" s="316" t="s">
        <v>334</v>
      </c>
      <c r="D59" s="316" t="s">
        <v>17</v>
      </c>
      <c r="E59" s="316" t="s">
        <v>559</v>
      </c>
      <c r="F59" s="316" t="s">
        <v>932</v>
      </c>
      <c r="G59" s="316" t="s">
        <v>348</v>
      </c>
      <c r="H59" s="316" t="s">
        <v>350</v>
      </c>
      <c r="I59" s="316" t="s">
        <v>349</v>
      </c>
      <c r="J59" s="316" t="s">
        <v>350</v>
      </c>
      <c r="K59" s="316">
        <v>196507</v>
      </c>
      <c r="L59" s="316" t="s">
        <v>32</v>
      </c>
      <c r="M59" s="316" t="s">
        <v>118</v>
      </c>
      <c r="N59" s="64">
        <v>93.217039999999997</v>
      </c>
      <c r="O59" s="64">
        <v>20.501757999999999</v>
      </c>
      <c r="P59" s="316"/>
      <c r="Q59" s="679">
        <v>365</v>
      </c>
      <c r="R59" s="678">
        <v>2366</v>
      </c>
      <c r="S59" s="690">
        <v>6.4821917808219176</v>
      </c>
      <c r="T59" s="522" t="s">
        <v>326</v>
      </c>
      <c r="U59" s="522"/>
      <c r="V59" s="606" t="s">
        <v>920</v>
      </c>
      <c r="W59" s="522" t="s">
        <v>810</v>
      </c>
      <c r="X59" s="316"/>
      <c r="Y59" s="316"/>
      <c r="Z59" s="316" t="s">
        <v>608</v>
      </c>
      <c r="AA59" s="523" t="str">
        <f>CONCATENATE(Camp_List[[#This Row],[Ethnicity]],"-",Camp_List[[#This Row],[Religion]])</f>
        <v>-Muslim</v>
      </c>
      <c r="AB59" s="518" t="s">
        <v>943</v>
      </c>
      <c r="AC59" s="316"/>
      <c r="AD59" s="585"/>
      <c r="AE59" s="316" t="s">
        <v>462</v>
      </c>
      <c r="AF59" s="316" t="s">
        <v>860</v>
      </c>
      <c r="AG59" s="254">
        <v>42766</v>
      </c>
      <c r="AH59" s="527" t="s">
        <v>922</v>
      </c>
      <c r="AI59" s="523" t="str">
        <f>IFERROR(VLOOKUP(Camp_List[[#This Row],[Responsible Agency]],Organization_t[],3,0),"")</f>
        <v/>
      </c>
      <c r="AJ59" s="530">
        <f ca="1">IF((SUMIFS(Data_Shelter_t[Coverage],Data_Shelter_t[Pcode],Camp_List[[#This Row],[P_Code]]))&gt;1,1,SUMIFS(Data_Shelter_t[Coverage],Data_Shelter_t[Pcode],Camp_List[[#This Row],[P_Code]]))</f>
        <v>1</v>
      </c>
      <c r="BL59" s="16"/>
      <c r="BM59" s="16"/>
      <c r="BP59" s="58"/>
      <c r="BQ59" s="58"/>
    </row>
    <row r="60" spans="1:69" ht="17.25" customHeight="1" x14ac:dyDescent="0.25">
      <c r="A60" s="515" t="s">
        <v>935</v>
      </c>
      <c r="B60" s="316" t="s">
        <v>7</v>
      </c>
      <c r="C60" s="316" t="s">
        <v>334</v>
      </c>
      <c r="D60" s="316" t="s">
        <v>17</v>
      </c>
      <c r="E60" s="316" t="s">
        <v>559</v>
      </c>
      <c r="F60" s="316" t="s">
        <v>15</v>
      </c>
      <c r="G60" s="316" t="s">
        <v>381</v>
      </c>
      <c r="H60" s="316" t="s">
        <v>54</v>
      </c>
      <c r="I60" s="316" t="s">
        <v>383</v>
      </c>
      <c r="J60" s="316" t="s">
        <v>54</v>
      </c>
      <c r="K60" s="316">
        <v>197763</v>
      </c>
      <c r="L60" s="316" t="s">
        <v>54</v>
      </c>
      <c r="M60" s="316" t="s">
        <v>140</v>
      </c>
      <c r="N60" s="64">
        <v>92.781294000000003</v>
      </c>
      <c r="O60" s="64">
        <v>20.399269</v>
      </c>
      <c r="P60" s="316"/>
      <c r="Q60" s="679">
        <v>32</v>
      </c>
      <c r="R60" s="678">
        <v>157</v>
      </c>
      <c r="S60" s="690">
        <v>5.21875</v>
      </c>
      <c r="T60" s="522" t="s">
        <v>326</v>
      </c>
      <c r="U60" s="522"/>
      <c r="V60" s="606" t="s">
        <v>920</v>
      </c>
      <c r="W60" s="522"/>
      <c r="X60" s="316"/>
      <c r="Y60" s="316"/>
      <c r="Z60" s="316" t="s">
        <v>608</v>
      </c>
      <c r="AA60" s="523" t="str">
        <f>CONCATENATE(Camp_List[[#This Row],[Ethnicity]],"-",Camp_List[[#This Row],[Religion]])</f>
        <v>-Muslim</v>
      </c>
      <c r="AB60" s="579" t="s">
        <v>943</v>
      </c>
      <c r="AC60" s="316"/>
      <c r="AD60" s="585"/>
      <c r="AE60" s="316" t="s">
        <v>462</v>
      </c>
      <c r="AF60" s="316" t="s">
        <v>477</v>
      </c>
      <c r="AG60" s="254">
        <v>42766</v>
      </c>
      <c r="AH60" s="527" t="s">
        <v>922</v>
      </c>
      <c r="AI60" s="523" t="str">
        <f>IFERROR(VLOOKUP(Camp_List[[#This Row],[Responsible Agency]],Organization_t[],3,0),"")</f>
        <v/>
      </c>
      <c r="AJ60" s="530">
        <f ca="1">IF((SUMIFS(Data_Shelter_t[Coverage],Data_Shelter_t[Pcode],Camp_List[[#This Row],[P_Code]]))&gt;1,1,SUMIFS(Data_Shelter_t[Coverage],Data_Shelter_t[Pcode],Camp_List[[#This Row],[P_Code]]))</f>
        <v>1</v>
      </c>
      <c r="BL60" s="16"/>
      <c r="BM60" s="16"/>
      <c r="BP60" s="58"/>
      <c r="BQ60" s="58"/>
    </row>
    <row r="61" spans="1:69" ht="17.25" customHeight="1" x14ac:dyDescent="0.25">
      <c r="A61" s="515" t="s">
        <v>935</v>
      </c>
      <c r="B61" s="316" t="s">
        <v>7</v>
      </c>
      <c r="C61" s="316" t="s">
        <v>334</v>
      </c>
      <c r="D61" s="316" t="s">
        <v>17</v>
      </c>
      <c r="E61" s="316" t="s">
        <v>559</v>
      </c>
      <c r="F61" s="316" t="s">
        <v>15</v>
      </c>
      <c r="G61" s="316" t="s">
        <v>381</v>
      </c>
      <c r="H61" s="316" t="s">
        <v>53</v>
      </c>
      <c r="I61" s="316" t="s">
        <v>384</v>
      </c>
      <c r="J61" s="316" t="s">
        <v>1167</v>
      </c>
      <c r="K61" s="316">
        <v>197780</v>
      </c>
      <c r="L61" s="316" t="s">
        <v>53</v>
      </c>
      <c r="M61" s="316" t="s">
        <v>139</v>
      </c>
      <c r="N61" s="64">
        <v>92.785706000000005</v>
      </c>
      <c r="O61" s="64">
        <v>20.335864000000001</v>
      </c>
      <c r="P61" s="316"/>
      <c r="Q61" s="679">
        <v>56</v>
      </c>
      <c r="R61" s="678">
        <v>332</v>
      </c>
      <c r="S61" s="690">
        <v>6.2857142857142856</v>
      </c>
      <c r="T61" s="522" t="s">
        <v>326</v>
      </c>
      <c r="U61" s="522"/>
      <c r="V61" s="606" t="s">
        <v>920</v>
      </c>
      <c r="W61" s="522"/>
      <c r="X61" s="316"/>
      <c r="Y61" s="316"/>
      <c r="Z61" s="316" t="s">
        <v>608</v>
      </c>
      <c r="AA61" s="523" t="str">
        <f>CONCATENATE(Camp_List[[#This Row],[Ethnicity]],"-",Camp_List[[#This Row],[Religion]])</f>
        <v>-Muslim</v>
      </c>
      <c r="AB61" s="579" t="s">
        <v>943</v>
      </c>
      <c r="AC61" s="316"/>
      <c r="AD61" s="585"/>
      <c r="AE61" s="316" t="s">
        <v>462</v>
      </c>
      <c r="AF61" s="316" t="s">
        <v>477</v>
      </c>
      <c r="AG61" s="254">
        <v>42766</v>
      </c>
      <c r="AH61" s="527" t="s">
        <v>922</v>
      </c>
      <c r="AI61" s="523" t="str">
        <f>IFERROR(VLOOKUP(Camp_List[[#This Row],[Responsible Agency]],Organization_t[],3,0),"")</f>
        <v/>
      </c>
      <c r="AJ61" s="530">
        <f ca="1">IF((SUMIFS(Data_Shelter_t[Coverage],Data_Shelter_t[Pcode],Camp_List[[#This Row],[P_Code]]))&gt;1,1,SUMIFS(Data_Shelter_t[Coverage],Data_Shelter_t[Pcode],Camp_List[[#This Row],[P_Code]]))</f>
        <v>1</v>
      </c>
      <c r="BL61" s="16"/>
      <c r="BM61" s="16"/>
      <c r="BP61" s="58"/>
      <c r="BQ61" s="58"/>
    </row>
    <row r="62" spans="1:69" ht="17.25" hidden="1" customHeight="1" x14ac:dyDescent="0.25">
      <c r="A62" s="316" t="s">
        <v>332</v>
      </c>
      <c r="B62" s="316" t="s">
        <v>7</v>
      </c>
      <c r="C62" s="316" t="s">
        <v>334</v>
      </c>
      <c r="D62" s="316" t="s">
        <v>18</v>
      </c>
      <c r="E62" s="316" t="s">
        <v>573</v>
      </c>
      <c r="F62" s="316" t="s">
        <v>18</v>
      </c>
      <c r="G62" s="316" t="s">
        <v>428</v>
      </c>
      <c r="H62" s="316" t="s">
        <v>431</v>
      </c>
      <c r="I62" s="316" t="s">
        <v>432</v>
      </c>
      <c r="J62" s="316" t="s">
        <v>435</v>
      </c>
      <c r="K62" s="316">
        <v>217897</v>
      </c>
      <c r="L62" s="316" t="s">
        <v>98</v>
      </c>
      <c r="M62" s="316" t="s">
        <v>184</v>
      </c>
      <c r="N62" s="64">
        <v>92.416263999999998</v>
      </c>
      <c r="O62" s="64">
        <v>20.796128</v>
      </c>
      <c r="P62" s="316"/>
      <c r="Q62" s="681"/>
      <c r="R62" s="684"/>
      <c r="S62" s="694">
        <v>0</v>
      </c>
      <c r="T62" s="316" t="s">
        <v>326</v>
      </c>
      <c r="U62" s="316" t="s">
        <v>705</v>
      </c>
      <c r="V62" s="521" t="s">
        <v>20</v>
      </c>
      <c r="W62" s="522"/>
      <c r="X62" s="316"/>
      <c r="Y62" s="316"/>
      <c r="Z62" s="316"/>
      <c r="AA62" s="523" t="str">
        <f>CONCATENATE(Camp_List[[#This Row],[Ethnicity]],"-",Camp_List[[#This Row],[Religion]])</f>
        <v>-</v>
      </c>
      <c r="AB62" s="523"/>
      <c r="AC62" s="316"/>
      <c r="AD62" s="525" t="s">
        <v>722</v>
      </c>
      <c r="AE62" s="316" t="s">
        <v>462</v>
      </c>
      <c r="AF62" s="316" t="s">
        <v>477</v>
      </c>
      <c r="AG62" s="254">
        <v>41520</v>
      </c>
      <c r="AH62" s="527" t="s">
        <v>957</v>
      </c>
      <c r="AI62" s="523">
        <f>IFERROR(VLOOKUP(Camp_List[[#This Row],[Responsible Agency]],Organization_t[],3,0),"")</f>
        <v>0</v>
      </c>
      <c r="AJ62" s="530">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563</v>
      </c>
      <c r="D63" s="316" t="s">
        <v>18</v>
      </c>
      <c r="E63" s="316" t="s">
        <v>573</v>
      </c>
      <c r="F63" s="316" t="s">
        <v>18</v>
      </c>
      <c r="G63" s="316" t="s">
        <v>428</v>
      </c>
      <c r="H63" s="316" t="s">
        <v>470</v>
      </c>
      <c r="I63" s="316" t="s">
        <v>472</v>
      </c>
      <c r="J63" s="316"/>
      <c r="K63" s="316"/>
      <c r="L63" s="316" t="s">
        <v>566</v>
      </c>
      <c r="M63" s="316" t="s">
        <v>570</v>
      </c>
      <c r="N63" s="64">
        <v>92.365618999999995</v>
      </c>
      <c r="O63" s="64">
        <v>20.820316999999999</v>
      </c>
      <c r="P63" s="316"/>
      <c r="Q63" s="681"/>
      <c r="R63" s="684"/>
      <c r="S63" s="694">
        <v>0</v>
      </c>
      <c r="T63" s="316" t="s">
        <v>326</v>
      </c>
      <c r="U63" s="316" t="s">
        <v>705</v>
      </c>
      <c r="V63" s="521" t="s">
        <v>20</v>
      </c>
      <c r="W63" s="522"/>
      <c r="X63" s="316"/>
      <c r="Y63" s="316"/>
      <c r="Z63" s="316"/>
      <c r="AA63" s="523" t="str">
        <f>CONCATENATE(Camp_List[[#This Row],[Ethnicity]],"-",Camp_List[[#This Row],[Religion]])</f>
        <v>-</v>
      </c>
      <c r="AB63" s="523"/>
      <c r="AC63" s="316"/>
      <c r="AD63" s="525" t="s">
        <v>722</v>
      </c>
      <c r="AE63" s="316" t="s">
        <v>462</v>
      </c>
      <c r="AF63" s="316" t="s">
        <v>477</v>
      </c>
      <c r="AG63" s="254">
        <v>41548</v>
      </c>
      <c r="AH63" s="527"/>
      <c r="AI63" s="523">
        <f>IFERROR(VLOOKUP(Camp_List[[#This Row],[Responsible Agency]],Organization_t[],3,0),"")</f>
        <v>0</v>
      </c>
      <c r="AJ63" s="530">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431</v>
      </c>
      <c r="I64" s="316" t="s">
        <v>432</v>
      </c>
      <c r="J64" s="316" t="s">
        <v>434</v>
      </c>
      <c r="K64" s="316">
        <v>217895</v>
      </c>
      <c r="L64" s="316" t="s">
        <v>100</v>
      </c>
      <c r="M64" s="316" t="s">
        <v>186</v>
      </c>
      <c r="N64" s="64">
        <v>92.423364000000007</v>
      </c>
      <c r="O64" s="64">
        <v>20.801544</v>
      </c>
      <c r="P64" s="316"/>
      <c r="Q64" s="681"/>
      <c r="R64" s="684"/>
      <c r="S64" s="694">
        <v>0</v>
      </c>
      <c r="T64" s="316" t="s">
        <v>326</v>
      </c>
      <c r="U64" s="316" t="s">
        <v>705</v>
      </c>
      <c r="V64" s="521" t="s">
        <v>20</v>
      </c>
      <c r="W64" s="522"/>
      <c r="X64" s="316"/>
      <c r="Y64" s="316"/>
      <c r="Z64" s="316"/>
      <c r="AA64" s="523" t="str">
        <f>CONCATENATE(Camp_List[[#This Row],[Ethnicity]],"-",Camp_List[[#This Row],[Religion]])</f>
        <v>-</v>
      </c>
      <c r="AB64" s="523"/>
      <c r="AC64" s="316"/>
      <c r="AD64" s="525" t="s">
        <v>722</v>
      </c>
      <c r="AE64" s="316" t="s">
        <v>462</v>
      </c>
      <c r="AF64" s="316" t="s">
        <v>477</v>
      </c>
      <c r="AG64" s="254">
        <v>41520</v>
      </c>
      <c r="AH64" s="527" t="s">
        <v>958</v>
      </c>
      <c r="AI64" s="523">
        <f>IFERROR(VLOOKUP(Camp_List[[#This Row],[Responsible Agency]],Organization_t[],3,0),"")</f>
        <v>0</v>
      </c>
      <c r="AJ64" s="530">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436</v>
      </c>
      <c r="I65" s="316" t="s">
        <v>437</v>
      </c>
      <c r="J65" s="316" t="s">
        <v>438</v>
      </c>
      <c r="K65" s="316">
        <v>217898</v>
      </c>
      <c r="L65" s="316" t="s">
        <v>99</v>
      </c>
      <c r="M65" s="316" t="s">
        <v>185</v>
      </c>
      <c r="N65" s="64">
        <v>92.424138999999997</v>
      </c>
      <c r="O65" s="64">
        <v>20.762730999999999</v>
      </c>
      <c r="P65" s="316"/>
      <c r="Q65" s="683"/>
      <c r="R65" s="684"/>
      <c r="S65" s="694">
        <v>0</v>
      </c>
      <c r="T65" s="316" t="s">
        <v>326</v>
      </c>
      <c r="U65" s="316" t="s">
        <v>705</v>
      </c>
      <c r="V65" s="521" t="s">
        <v>20</v>
      </c>
      <c r="W65" s="522"/>
      <c r="X65" s="316"/>
      <c r="Y65" s="316"/>
      <c r="Z65" s="316"/>
      <c r="AA65" s="523" t="str">
        <f>CONCATENATE(Camp_List[[#This Row],[Ethnicity]],"-",Camp_List[[#This Row],[Religion]])</f>
        <v>-</v>
      </c>
      <c r="AB65" s="523"/>
      <c r="AC65" s="316"/>
      <c r="AD65" s="525" t="s">
        <v>722</v>
      </c>
      <c r="AE65" s="316" t="s">
        <v>462</v>
      </c>
      <c r="AF65" s="316" t="s">
        <v>477</v>
      </c>
      <c r="AG65" s="254">
        <v>41520</v>
      </c>
      <c r="AH65" s="527" t="s">
        <v>959</v>
      </c>
      <c r="AI65" s="523">
        <f>IFERROR(VLOOKUP(Camp_List[[#This Row],[Responsible Agency]],Organization_t[],3,0),"")</f>
        <v>0</v>
      </c>
      <c r="AJ65" s="530">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97</v>
      </c>
      <c r="M66" s="316" t="s">
        <v>183</v>
      </c>
      <c r="N66" s="64" t="s">
        <v>264</v>
      </c>
      <c r="O66" s="64" t="s">
        <v>264</v>
      </c>
      <c r="P66" s="316"/>
      <c r="Q66" s="681"/>
      <c r="R66" s="684"/>
      <c r="S66" s="694">
        <v>0</v>
      </c>
      <c r="T66" s="316" t="s">
        <v>326</v>
      </c>
      <c r="U66" s="316" t="s">
        <v>705</v>
      </c>
      <c r="V66" s="521" t="s">
        <v>20</v>
      </c>
      <c r="W66" s="522"/>
      <c r="X66" s="316"/>
      <c r="Y66" s="316"/>
      <c r="Z66" s="316"/>
      <c r="AA66" s="523" t="str">
        <f>CONCATENATE(Camp_List[[#This Row],[Ethnicity]],"-",Camp_List[[#This Row],[Religion]])</f>
        <v>-</v>
      </c>
      <c r="AB66" s="523"/>
      <c r="AC66" s="316"/>
      <c r="AD66" s="525" t="s">
        <v>722</v>
      </c>
      <c r="AE66" s="316" t="s">
        <v>462</v>
      </c>
      <c r="AF66" s="316" t="s">
        <v>477</v>
      </c>
      <c r="AG66" s="254">
        <v>41520</v>
      </c>
      <c r="AH66" s="527"/>
      <c r="AI66" s="523">
        <f>IFERROR(VLOOKUP(Camp_List[[#This Row],[Responsible Agency]],Organization_t[],3,0),"")</f>
        <v>0</v>
      </c>
      <c r="AJ66" s="530">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264</v>
      </c>
      <c r="I67" s="316" t="s">
        <v>264</v>
      </c>
      <c r="J67" s="316" t="s">
        <v>264</v>
      </c>
      <c r="K67" s="316" t="s">
        <v>264</v>
      </c>
      <c r="L67" s="316" t="s">
        <v>95</v>
      </c>
      <c r="M67" s="316" t="s">
        <v>181</v>
      </c>
      <c r="N67" s="64" t="s">
        <v>264</v>
      </c>
      <c r="O67" s="64" t="s">
        <v>264</v>
      </c>
      <c r="P67" s="316"/>
      <c r="Q67" s="681"/>
      <c r="R67" s="684"/>
      <c r="S67" s="694">
        <v>0</v>
      </c>
      <c r="T67" s="316" t="s">
        <v>326</v>
      </c>
      <c r="U67" s="316" t="s">
        <v>705</v>
      </c>
      <c r="V67" s="521" t="s">
        <v>20</v>
      </c>
      <c r="W67" s="522"/>
      <c r="X67" s="316"/>
      <c r="Y67" s="316"/>
      <c r="Z67" s="316"/>
      <c r="AA67" s="523" t="str">
        <f>CONCATENATE(Camp_List[[#This Row],[Ethnicity]],"-",Camp_List[[#This Row],[Religion]])</f>
        <v>-</v>
      </c>
      <c r="AB67" s="523"/>
      <c r="AC67" s="316"/>
      <c r="AD67" s="525" t="s">
        <v>722</v>
      </c>
      <c r="AE67" s="316" t="s">
        <v>462</v>
      </c>
      <c r="AF67" s="316" t="s">
        <v>477</v>
      </c>
      <c r="AG67" s="254">
        <v>41520</v>
      </c>
      <c r="AH67" s="527"/>
      <c r="AI67" s="523">
        <f>IFERROR(VLOOKUP(Camp_List[[#This Row],[Responsible Agency]],Organization_t[],3,0),"")</f>
        <v>0</v>
      </c>
      <c r="AJ67" s="530">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334</v>
      </c>
      <c r="D68" s="316" t="s">
        <v>18</v>
      </c>
      <c r="E68" s="316" t="s">
        <v>573</v>
      </c>
      <c r="F68" s="316" t="s">
        <v>18</v>
      </c>
      <c r="G68" s="316" t="s">
        <v>428</v>
      </c>
      <c r="H68" s="316" t="s">
        <v>427</v>
      </c>
      <c r="I68" s="316" t="s">
        <v>426</v>
      </c>
      <c r="J68" s="316" t="s">
        <v>439</v>
      </c>
      <c r="K68" s="316">
        <v>198016</v>
      </c>
      <c r="L68" s="316" t="s">
        <v>96</v>
      </c>
      <c r="M68" s="316" t="s">
        <v>182</v>
      </c>
      <c r="N68" s="64">
        <v>92.429599999999994</v>
      </c>
      <c r="O68" s="64">
        <v>20.729866999999999</v>
      </c>
      <c r="P68" s="316"/>
      <c r="Q68" s="681"/>
      <c r="R68" s="684"/>
      <c r="S68" s="694">
        <v>0</v>
      </c>
      <c r="T68" s="316" t="s">
        <v>326</v>
      </c>
      <c r="U68" s="316" t="s">
        <v>705</v>
      </c>
      <c r="V68" s="521" t="s">
        <v>20</v>
      </c>
      <c r="W68" s="522"/>
      <c r="X68" s="316"/>
      <c r="Y68" s="316"/>
      <c r="Z68" s="316"/>
      <c r="AA68" s="523" t="str">
        <f>CONCATENATE(Camp_List[[#This Row],[Ethnicity]],"-",Camp_List[[#This Row],[Religion]])</f>
        <v>-</v>
      </c>
      <c r="AB68" s="523"/>
      <c r="AC68" s="316"/>
      <c r="AD68" s="525" t="s">
        <v>722</v>
      </c>
      <c r="AE68" s="316" t="s">
        <v>462</v>
      </c>
      <c r="AF68" s="316" t="s">
        <v>477</v>
      </c>
      <c r="AG68" s="254">
        <v>41520</v>
      </c>
      <c r="AH68" s="527" t="s">
        <v>960</v>
      </c>
      <c r="AI68" s="523">
        <f>IFERROR(VLOOKUP(Camp_List[[#This Row],[Responsible Agency]],Organization_t[],3,0),"")</f>
        <v>0</v>
      </c>
      <c r="AJ68" s="530">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564</v>
      </c>
      <c r="D69" s="316" t="s">
        <v>18</v>
      </c>
      <c r="E69" s="316" t="s">
        <v>573</v>
      </c>
      <c r="F69" s="316" t="s">
        <v>18</v>
      </c>
      <c r="G69" s="316" t="s">
        <v>428</v>
      </c>
      <c r="H69" s="316" t="s">
        <v>470</v>
      </c>
      <c r="I69" s="316" t="s">
        <v>472</v>
      </c>
      <c r="J69" s="316"/>
      <c r="K69" s="316"/>
      <c r="L69" s="316" t="s">
        <v>567</v>
      </c>
      <c r="M69" s="316" t="s">
        <v>571</v>
      </c>
      <c r="N69" s="64">
        <v>92.367536000000001</v>
      </c>
      <c r="O69" s="64">
        <v>20.825500000000002</v>
      </c>
      <c r="P69" s="316"/>
      <c r="Q69" s="681"/>
      <c r="R69" s="684"/>
      <c r="S69" s="694">
        <v>0</v>
      </c>
      <c r="T69" s="316" t="s">
        <v>326</v>
      </c>
      <c r="U69" s="316" t="s">
        <v>705</v>
      </c>
      <c r="V69" s="521" t="s">
        <v>20</v>
      </c>
      <c r="W69" s="522"/>
      <c r="X69" s="316"/>
      <c r="Y69" s="316"/>
      <c r="Z69" s="316"/>
      <c r="AA69" s="523" t="str">
        <f>CONCATENATE(Camp_List[[#This Row],[Ethnicity]],"-",Camp_List[[#This Row],[Religion]])</f>
        <v>-</v>
      </c>
      <c r="AB69" s="523"/>
      <c r="AC69" s="316"/>
      <c r="AD69" s="525" t="s">
        <v>722</v>
      </c>
      <c r="AE69" s="316" t="s">
        <v>462</v>
      </c>
      <c r="AF69" s="316" t="s">
        <v>477</v>
      </c>
      <c r="AG69" s="254">
        <v>41548</v>
      </c>
      <c r="AH69" s="527"/>
      <c r="AI69" s="523">
        <f>IFERROR(VLOOKUP(Camp_List[[#This Row],[Responsible Agency]],Organization_t[],3,0),"")</f>
        <v>0</v>
      </c>
      <c r="AJ69" s="530">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433</v>
      </c>
      <c r="K70" s="316">
        <v>198049</v>
      </c>
      <c r="L70" s="316" t="s">
        <v>108</v>
      </c>
      <c r="M70" s="316" t="s">
        <v>189</v>
      </c>
      <c r="N70" s="64">
        <v>92.435074999999998</v>
      </c>
      <c r="O70" s="64">
        <v>20.714532999999999</v>
      </c>
      <c r="P70" s="316"/>
      <c r="Q70" s="681"/>
      <c r="R70" s="684"/>
      <c r="S70" s="694">
        <v>0</v>
      </c>
      <c r="T70" s="316" t="s">
        <v>326</v>
      </c>
      <c r="U70" s="316" t="s">
        <v>705</v>
      </c>
      <c r="V70" s="521" t="s">
        <v>21</v>
      </c>
      <c r="W70" s="522"/>
      <c r="X70" s="316"/>
      <c r="Y70" s="316"/>
      <c r="Z70" s="316"/>
      <c r="AA70" s="523" t="str">
        <f>CONCATENATE(Camp_List[[#This Row],[Ethnicity]],"-",Camp_List[[#This Row],[Religion]])</f>
        <v>-</v>
      </c>
      <c r="AB70" s="523"/>
      <c r="AC70" s="316"/>
      <c r="AD70" s="525" t="s">
        <v>722</v>
      </c>
      <c r="AE70" s="316" t="s">
        <v>462</v>
      </c>
      <c r="AF70" s="316" t="s">
        <v>477</v>
      </c>
      <c r="AG70" s="254">
        <v>41520</v>
      </c>
      <c r="AH70" s="527" t="s">
        <v>961</v>
      </c>
      <c r="AI70" s="523">
        <f>IFERROR(VLOOKUP(Camp_List[[#This Row],[Responsible Agency]],Organization_t[],3,0),"")</f>
        <v>0</v>
      </c>
      <c r="AJ70" s="530">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334</v>
      </c>
      <c r="D71" s="316" t="s">
        <v>18</v>
      </c>
      <c r="E71" s="316" t="s">
        <v>573</v>
      </c>
      <c r="F71" s="316" t="s">
        <v>18</v>
      </c>
      <c r="G71" s="316" t="s">
        <v>428</v>
      </c>
      <c r="H71" s="316" t="s">
        <v>430</v>
      </c>
      <c r="I71" s="316" t="s">
        <v>429</v>
      </c>
      <c r="J71" s="316" t="s">
        <v>430</v>
      </c>
      <c r="K71" s="316">
        <v>198045</v>
      </c>
      <c r="L71" s="316" t="s">
        <v>106</v>
      </c>
      <c r="M71" s="316" t="s">
        <v>188</v>
      </c>
      <c r="N71" s="64">
        <v>92.426885999999996</v>
      </c>
      <c r="O71" s="64">
        <v>20.717331000000001</v>
      </c>
      <c r="P71" s="316"/>
      <c r="Q71" s="681"/>
      <c r="R71" s="684"/>
      <c r="S71" s="694">
        <v>0</v>
      </c>
      <c r="T71" s="316" t="s">
        <v>326</v>
      </c>
      <c r="U71" s="316" t="s">
        <v>705</v>
      </c>
      <c r="V71" s="521" t="s">
        <v>21</v>
      </c>
      <c r="W71" s="522"/>
      <c r="X71" s="316"/>
      <c r="Y71" s="316"/>
      <c r="Z71" s="316"/>
      <c r="AA71" s="523" t="str">
        <f>CONCATENATE(Camp_List[[#This Row],[Ethnicity]],"-",Camp_List[[#This Row],[Religion]])</f>
        <v>-</v>
      </c>
      <c r="AB71" s="523"/>
      <c r="AC71" s="316"/>
      <c r="AD71" s="525" t="s">
        <v>722</v>
      </c>
      <c r="AE71" s="316" t="s">
        <v>462</v>
      </c>
      <c r="AF71" s="316" t="s">
        <v>477</v>
      </c>
      <c r="AG71" s="254">
        <v>41520</v>
      </c>
      <c r="AH71" s="527" t="s">
        <v>962</v>
      </c>
      <c r="AI71" s="523">
        <f>IFERROR(VLOOKUP(Camp_List[[#This Row],[Responsible Agency]],Organization_t[],3,0),"")</f>
        <v>0</v>
      </c>
      <c r="AJ71" s="530">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565</v>
      </c>
      <c r="D72" s="316" t="s">
        <v>18</v>
      </c>
      <c r="E72" s="316" t="s">
        <v>573</v>
      </c>
      <c r="F72" s="316" t="s">
        <v>18</v>
      </c>
      <c r="G72" s="316" t="s">
        <v>428</v>
      </c>
      <c r="H72" s="316" t="s">
        <v>470</v>
      </c>
      <c r="I72" s="316" t="s">
        <v>472</v>
      </c>
      <c r="J72" s="316"/>
      <c r="K72" s="316"/>
      <c r="L72" s="316" t="s">
        <v>568</v>
      </c>
      <c r="M72" s="316" t="s">
        <v>572</v>
      </c>
      <c r="N72" s="64">
        <v>92.367932999999994</v>
      </c>
      <c r="O72" s="64">
        <v>20.825417000000002</v>
      </c>
      <c r="P72" s="316"/>
      <c r="Q72" s="681"/>
      <c r="R72" s="684"/>
      <c r="S72" s="694">
        <v>0</v>
      </c>
      <c r="T72" s="316" t="s">
        <v>326</v>
      </c>
      <c r="U72" s="316" t="s">
        <v>705</v>
      </c>
      <c r="V72" s="521" t="s">
        <v>21</v>
      </c>
      <c r="W72" s="522"/>
      <c r="X72" s="316"/>
      <c r="Y72" s="316"/>
      <c r="Z72" s="316"/>
      <c r="AA72" s="523" t="str">
        <f>CONCATENATE(Camp_List[[#This Row],[Ethnicity]],"-",Camp_List[[#This Row],[Religion]])</f>
        <v>-</v>
      </c>
      <c r="AB72" s="523"/>
      <c r="AC72" s="316"/>
      <c r="AD72" s="525" t="s">
        <v>722</v>
      </c>
      <c r="AE72" s="316" t="s">
        <v>462</v>
      </c>
      <c r="AF72" s="316" t="s">
        <v>477</v>
      </c>
      <c r="AG72" s="254">
        <v>41548</v>
      </c>
      <c r="AH72" s="527"/>
      <c r="AI72" s="523">
        <f>IFERROR(VLOOKUP(Camp_List[[#This Row],[Responsible Agency]],Organization_t[],3,0),"")</f>
        <v>0</v>
      </c>
      <c r="AJ72" s="530">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347</v>
      </c>
      <c r="I73" s="316" t="s">
        <v>346</v>
      </c>
      <c r="J73" s="316" t="s">
        <v>448</v>
      </c>
      <c r="K73" s="316">
        <v>197063</v>
      </c>
      <c r="L73" s="316" t="s">
        <v>26</v>
      </c>
      <c r="M73" s="316" t="s">
        <v>112</v>
      </c>
      <c r="N73" s="64">
        <v>93.258476000000002</v>
      </c>
      <c r="O73" s="64">
        <v>20.554084</v>
      </c>
      <c r="P73" s="316"/>
      <c r="Q73" s="681"/>
      <c r="R73" s="684"/>
      <c r="S73" s="694">
        <v>0</v>
      </c>
      <c r="T73" s="316" t="s">
        <v>326</v>
      </c>
      <c r="U73" s="316" t="s">
        <v>705</v>
      </c>
      <c r="V73" s="521" t="s">
        <v>21</v>
      </c>
      <c r="W73" s="522"/>
      <c r="X73" s="316"/>
      <c r="Y73" s="316"/>
      <c r="Z73" s="316"/>
      <c r="AA73" s="523" t="str">
        <f>CONCATENATE(Camp_List[[#This Row],[Ethnicity]],"-",Camp_List[[#This Row],[Religion]])</f>
        <v>-</v>
      </c>
      <c r="AB73" s="523"/>
      <c r="AC73" s="316"/>
      <c r="AD73" s="525" t="s">
        <v>722</v>
      </c>
      <c r="AE73" s="316" t="s">
        <v>462</v>
      </c>
      <c r="AF73" s="316" t="s">
        <v>477</v>
      </c>
      <c r="AG73" s="254">
        <v>41520</v>
      </c>
      <c r="AH73" s="527" t="s">
        <v>963</v>
      </c>
      <c r="AI73" s="523">
        <f>IFERROR(VLOOKUP(Camp_List[[#This Row],[Responsible Agency]],Organization_t[],3,0),"")</f>
        <v>0</v>
      </c>
      <c r="AJ73" s="530">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c r="E74" s="316"/>
      <c r="F74" s="316" t="s">
        <v>11</v>
      </c>
      <c r="G74" s="316" t="s">
        <v>335</v>
      </c>
      <c r="H74" s="316" t="s">
        <v>339</v>
      </c>
      <c r="I74" s="316" t="s">
        <v>338</v>
      </c>
      <c r="J74" s="316" t="s">
        <v>29</v>
      </c>
      <c r="K74" s="316">
        <v>197021</v>
      </c>
      <c r="L74" s="316" t="s">
        <v>29</v>
      </c>
      <c r="M74" s="316" t="s">
        <v>115</v>
      </c>
      <c r="N74" s="64">
        <v>93.321956999999998</v>
      </c>
      <c r="O74" s="64">
        <v>20.403735999999999</v>
      </c>
      <c r="P74" s="316"/>
      <c r="Q74" s="681"/>
      <c r="R74" s="684"/>
      <c r="S74" s="694">
        <v>0</v>
      </c>
      <c r="T74" s="316" t="s">
        <v>326</v>
      </c>
      <c r="U74" s="316" t="s">
        <v>705</v>
      </c>
      <c r="V74" s="521" t="s">
        <v>21</v>
      </c>
      <c r="W74" s="522"/>
      <c r="X74" s="316"/>
      <c r="Y74" s="316"/>
      <c r="Z74" s="316"/>
      <c r="AA74" s="523" t="str">
        <f>CONCATENATE(Camp_List[[#This Row],[Ethnicity]],"-",Camp_List[[#This Row],[Religion]])</f>
        <v>-</v>
      </c>
      <c r="AB74" s="523"/>
      <c r="AC74" s="316"/>
      <c r="AD74" s="525" t="s">
        <v>722</v>
      </c>
      <c r="AE74" s="316" t="s">
        <v>462</v>
      </c>
      <c r="AF74" s="316" t="s">
        <v>477</v>
      </c>
      <c r="AG74" s="254">
        <v>41520</v>
      </c>
      <c r="AH74" s="527" t="s">
        <v>964</v>
      </c>
      <c r="AI74" s="523">
        <f>IFERROR(VLOOKUP(Camp_List[[#This Row],[Responsible Agency]],Organization_t[],3,0),"")</f>
        <v>0</v>
      </c>
      <c r="AJ74" s="530">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932</v>
      </c>
      <c r="G75" s="316" t="s">
        <v>348</v>
      </c>
      <c r="H75" s="316" t="s">
        <v>470</v>
      </c>
      <c r="I75" s="316" t="s">
        <v>469</v>
      </c>
      <c r="J75" s="316"/>
      <c r="K75" s="316"/>
      <c r="L75" s="316" t="s">
        <v>33</v>
      </c>
      <c r="M75" s="316" t="s">
        <v>119</v>
      </c>
      <c r="N75" s="64">
        <v>93.187995999999998</v>
      </c>
      <c r="O75" s="64">
        <v>20.589569000000001</v>
      </c>
      <c r="P75" s="316" t="s">
        <v>849</v>
      </c>
      <c r="Q75" s="682"/>
      <c r="R75" s="685"/>
      <c r="S75" s="694">
        <v>0</v>
      </c>
      <c r="T75" s="316" t="s">
        <v>326</v>
      </c>
      <c r="U75" s="316" t="s">
        <v>705</v>
      </c>
      <c r="V75" s="521" t="s">
        <v>19</v>
      </c>
      <c r="W75" s="522"/>
      <c r="X75" s="316"/>
      <c r="Y75" s="316"/>
      <c r="Z75" s="316"/>
      <c r="AA75" s="523" t="str">
        <f>CONCATENATE(Camp_List[[#This Row],[Ethnicity]],"-",Camp_List[[#This Row],[Religion]])</f>
        <v>-</v>
      </c>
      <c r="AB75" s="523"/>
      <c r="AC75" s="316"/>
      <c r="AD75" s="525" t="s">
        <v>722</v>
      </c>
      <c r="AE75" s="316" t="s">
        <v>462</v>
      </c>
      <c r="AF75" s="316" t="s">
        <v>477</v>
      </c>
      <c r="AG75" s="254">
        <v>41548</v>
      </c>
      <c r="AH75" s="527" t="s">
        <v>471</v>
      </c>
      <c r="AI75" s="523">
        <f>IFERROR(VLOOKUP(Camp_List[[#This Row],[Responsible Agency]],Organization_t[],3,0),"")</f>
        <v>0</v>
      </c>
      <c r="AJ75" s="530">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13</v>
      </c>
      <c r="G76" s="316" t="s">
        <v>355</v>
      </c>
      <c r="H76" s="316" t="s">
        <v>41</v>
      </c>
      <c r="I76" s="316" t="s">
        <v>359</v>
      </c>
      <c r="J76" s="316" t="s">
        <v>1163</v>
      </c>
      <c r="K76" s="316">
        <v>197548</v>
      </c>
      <c r="L76" s="316" t="s">
        <v>498</v>
      </c>
      <c r="M76" s="316" t="s">
        <v>265</v>
      </c>
      <c r="N76" s="64">
        <v>92.993758999999997</v>
      </c>
      <c r="O76" s="64">
        <v>20.064226000000001</v>
      </c>
      <c r="P76" s="316"/>
      <c r="Q76" s="681"/>
      <c r="R76" s="684"/>
      <c r="S76" s="694">
        <v>0</v>
      </c>
      <c r="T76" s="316" t="s">
        <v>326</v>
      </c>
      <c r="U76" s="316" t="s">
        <v>705</v>
      </c>
      <c r="V76" s="521" t="s">
        <v>21</v>
      </c>
      <c r="W76" s="522"/>
      <c r="X76" s="316"/>
      <c r="Y76" s="316"/>
      <c r="Z76" s="316"/>
      <c r="AA76" s="523" t="str">
        <f>CONCATENATE(Camp_List[[#This Row],[Ethnicity]],"-",Camp_List[[#This Row],[Religion]])</f>
        <v>-</v>
      </c>
      <c r="AB76" s="523"/>
      <c r="AC76" s="316"/>
      <c r="AD76" s="525" t="s">
        <v>722</v>
      </c>
      <c r="AE76" s="316" t="s">
        <v>462</v>
      </c>
      <c r="AF76" s="316" t="s">
        <v>477</v>
      </c>
      <c r="AG76" s="254">
        <v>42447</v>
      </c>
      <c r="AH76" s="527" t="s">
        <v>965</v>
      </c>
      <c r="AI76" s="523">
        <f>IFERROR(VLOOKUP(Camp_List[[#This Row],[Responsible Agency]],Organization_t[],3,0),"")</f>
        <v>0</v>
      </c>
      <c r="AJ76" s="530">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404</v>
      </c>
      <c r="I77" s="316" t="s">
        <v>515</v>
      </c>
      <c r="J77" s="316"/>
      <c r="K77" s="316" t="s">
        <v>405</v>
      </c>
      <c r="L77" s="316" t="s">
        <v>88</v>
      </c>
      <c r="M77" s="316" t="s">
        <v>174</v>
      </c>
      <c r="N77" s="64">
        <v>92.895899999999997</v>
      </c>
      <c r="O77" s="64">
        <v>20.1538</v>
      </c>
      <c r="P77" s="316"/>
      <c r="Q77" s="682"/>
      <c r="R77" s="685"/>
      <c r="S77" s="694">
        <v>0</v>
      </c>
      <c r="T77" s="316" t="s">
        <v>326</v>
      </c>
      <c r="U77" s="316" t="s">
        <v>705</v>
      </c>
      <c r="V77" s="521" t="s">
        <v>19</v>
      </c>
      <c r="W77" s="522"/>
      <c r="X77" s="316"/>
      <c r="Y77" s="316"/>
      <c r="Z77" s="316"/>
      <c r="AA77" s="523" t="str">
        <f>CONCATENATE(Camp_List[[#This Row],[Ethnicity]],"-",Camp_List[[#This Row],[Religion]])</f>
        <v>-</v>
      </c>
      <c r="AB77" s="523"/>
      <c r="AC77" s="316"/>
      <c r="AD77" s="525" t="s">
        <v>722</v>
      </c>
      <c r="AE77" s="316" t="s">
        <v>462</v>
      </c>
      <c r="AF77" s="316" t="s">
        <v>477</v>
      </c>
      <c r="AG77" s="254">
        <v>41520</v>
      </c>
      <c r="AH77" s="527"/>
      <c r="AI77" s="523">
        <f>IFERROR(VLOOKUP(Camp_List[[#This Row],[Responsible Agency]],Organization_t[],3,0),"")</f>
        <v>0</v>
      </c>
      <c r="AJ77" s="530">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412</v>
      </c>
      <c r="I78" s="316" t="s">
        <v>515</v>
      </c>
      <c r="J78" s="316"/>
      <c r="K78" s="316" t="s">
        <v>413</v>
      </c>
      <c r="L78" s="316" t="s">
        <v>78</v>
      </c>
      <c r="M78" s="316" t="s">
        <v>164</v>
      </c>
      <c r="N78" s="64">
        <v>92.894568000000007</v>
      </c>
      <c r="O78" s="64">
        <v>20.145585000000001</v>
      </c>
      <c r="P78" s="316"/>
      <c r="Q78" s="682"/>
      <c r="R78" s="685"/>
      <c r="S78" s="694">
        <v>0</v>
      </c>
      <c r="T78" s="316" t="s">
        <v>326</v>
      </c>
      <c r="U78" s="316" t="s">
        <v>705</v>
      </c>
      <c r="V78" s="521" t="s">
        <v>19</v>
      </c>
      <c r="W78" s="522"/>
      <c r="X78" s="316"/>
      <c r="Y78" s="316"/>
      <c r="Z78" s="316"/>
      <c r="AA78" s="523" t="str">
        <f>CONCATENATE(Camp_List[[#This Row],[Ethnicity]],"-",Camp_List[[#This Row],[Religion]])</f>
        <v>-</v>
      </c>
      <c r="AB78" s="523"/>
      <c r="AC78" s="316"/>
      <c r="AD78" s="525" t="s">
        <v>722</v>
      </c>
      <c r="AE78" s="316" t="s">
        <v>462</v>
      </c>
      <c r="AF78" s="316" t="s">
        <v>477</v>
      </c>
      <c r="AG78" s="254">
        <v>41520</v>
      </c>
      <c r="AH78" s="527"/>
      <c r="AI78" s="523">
        <f>IFERROR(VLOOKUP(Camp_List[[#This Row],[Responsible Agency]],Organization_t[],3,0),"")</f>
        <v>0</v>
      </c>
      <c r="AJ78" s="530">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414</v>
      </c>
      <c r="I79" s="316" t="s">
        <v>515</v>
      </c>
      <c r="J79" s="316"/>
      <c r="K79" s="316" t="s">
        <v>420</v>
      </c>
      <c r="L79" s="316" t="s">
        <v>79</v>
      </c>
      <c r="M79" s="316" t="s">
        <v>165</v>
      </c>
      <c r="N79" s="64">
        <v>92.898398</v>
      </c>
      <c r="O79" s="64">
        <v>20.152559</v>
      </c>
      <c r="P79" s="316"/>
      <c r="Q79" s="682"/>
      <c r="R79" s="685"/>
      <c r="S79" s="694">
        <v>0</v>
      </c>
      <c r="T79" s="316" t="s">
        <v>326</v>
      </c>
      <c r="U79" s="316" t="s">
        <v>705</v>
      </c>
      <c r="V79" s="521" t="s">
        <v>19</v>
      </c>
      <c r="W79" s="522"/>
      <c r="X79" s="316"/>
      <c r="Y79" s="316"/>
      <c r="Z79" s="316"/>
      <c r="AA79" s="523" t="str">
        <f>CONCATENATE(Camp_List[[#This Row],[Ethnicity]],"-",Camp_List[[#This Row],[Religion]])</f>
        <v>-</v>
      </c>
      <c r="AB79" s="523"/>
      <c r="AC79" s="316"/>
      <c r="AD79" s="525" t="s">
        <v>722</v>
      </c>
      <c r="AE79" s="316" t="s">
        <v>462</v>
      </c>
      <c r="AF79" s="316" t="s">
        <v>477</v>
      </c>
      <c r="AG79" s="254">
        <v>41520</v>
      </c>
      <c r="AH79" s="527"/>
      <c r="AI79" s="523">
        <f>IFERROR(VLOOKUP(Camp_List[[#This Row],[Responsible Agency]],Organization_t[],3,0),"")</f>
        <v>0</v>
      </c>
      <c r="AJ79" s="530">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412</v>
      </c>
      <c r="I80" s="316" t="s">
        <v>515</v>
      </c>
      <c r="J80" s="316"/>
      <c r="K80" s="316" t="s">
        <v>413</v>
      </c>
      <c r="L80" s="316" t="s">
        <v>92</v>
      </c>
      <c r="M80" s="316" t="s">
        <v>178</v>
      </c>
      <c r="N80" s="64">
        <v>92.895600000000002</v>
      </c>
      <c r="O80" s="64">
        <v>20.146916999999998</v>
      </c>
      <c r="P80" s="316"/>
      <c r="Q80" s="682"/>
      <c r="R80" s="685"/>
      <c r="S80" s="694">
        <v>0</v>
      </c>
      <c r="T80" s="316" t="s">
        <v>326</v>
      </c>
      <c r="U80" s="316" t="s">
        <v>705</v>
      </c>
      <c r="V80" s="521" t="s">
        <v>19</v>
      </c>
      <c r="W80" s="522"/>
      <c r="X80" s="316"/>
      <c r="Y80" s="316"/>
      <c r="Z80" s="316"/>
      <c r="AA80" s="523" t="str">
        <f>CONCATENATE(Camp_List[[#This Row],[Ethnicity]],"-",Camp_List[[#This Row],[Religion]])</f>
        <v>-</v>
      </c>
      <c r="AB80" s="523"/>
      <c r="AC80" s="316"/>
      <c r="AD80" s="525" t="s">
        <v>722</v>
      </c>
      <c r="AE80" s="316" t="s">
        <v>462</v>
      </c>
      <c r="AF80" s="316" t="s">
        <v>477</v>
      </c>
      <c r="AG80" s="254">
        <v>41520</v>
      </c>
      <c r="AH80" s="527"/>
      <c r="AI80" s="523">
        <f>IFERROR(VLOOKUP(Camp_List[[#This Row],[Responsible Agency]],Organization_t[],3,0),"")</f>
        <v>0</v>
      </c>
      <c r="AJ80" s="530">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404</v>
      </c>
      <c r="I81" s="316" t="s">
        <v>515</v>
      </c>
      <c r="J81" s="316"/>
      <c r="K81" s="316" t="s">
        <v>405</v>
      </c>
      <c r="L81" s="316" t="s">
        <v>80</v>
      </c>
      <c r="M81" s="316" t="s">
        <v>166</v>
      </c>
      <c r="N81" s="64">
        <v>92.896409000000006</v>
      </c>
      <c r="O81" s="64">
        <v>20.153753999999999</v>
      </c>
      <c r="P81" s="316"/>
      <c r="Q81" s="682"/>
      <c r="R81" s="685"/>
      <c r="S81" s="694">
        <v>0</v>
      </c>
      <c r="T81" s="316" t="s">
        <v>326</v>
      </c>
      <c r="U81" s="316" t="s">
        <v>705</v>
      </c>
      <c r="V81" s="521" t="s">
        <v>19</v>
      </c>
      <c r="W81" s="522"/>
      <c r="X81" s="316"/>
      <c r="Y81" s="316"/>
      <c r="Z81" s="316"/>
      <c r="AA81" s="523" t="str">
        <f>CONCATENATE(Camp_List[[#This Row],[Ethnicity]],"-",Camp_List[[#This Row],[Religion]])</f>
        <v>-</v>
      </c>
      <c r="AB81" s="523"/>
      <c r="AC81" s="316"/>
      <c r="AD81" s="525" t="s">
        <v>722</v>
      </c>
      <c r="AE81" s="316" t="s">
        <v>462</v>
      </c>
      <c r="AF81" s="316" t="s">
        <v>477</v>
      </c>
      <c r="AG81" s="254">
        <v>41520</v>
      </c>
      <c r="AH81" s="527"/>
      <c r="AI81" s="523">
        <f>IFERROR(VLOOKUP(Camp_List[[#This Row],[Responsible Agency]],Organization_t[],3,0),"")</f>
        <v>0</v>
      </c>
      <c r="AJ81" s="530">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419</v>
      </c>
      <c r="I82" s="316" t="s">
        <v>515</v>
      </c>
      <c r="J82" s="316"/>
      <c r="K82" s="316" t="s">
        <v>424</v>
      </c>
      <c r="L82" s="316" t="s">
        <v>90</v>
      </c>
      <c r="M82" s="316" t="s">
        <v>176</v>
      </c>
      <c r="N82" s="64">
        <v>92.894450000000006</v>
      </c>
      <c r="O82" s="64">
        <v>20.147099999999998</v>
      </c>
      <c r="P82" s="316"/>
      <c r="Q82" s="682"/>
      <c r="R82" s="685"/>
      <c r="S82" s="694">
        <v>0</v>
      </c>
      <c r="T82" s="316" t="s">
        <v>326</v>
      </c>
      <c r="U82" s="316" t="s">
        <v>705</v>
      </c>
      <c r="V82" s="521" t="s">
        <v>19</v>
      </c>
      <c r="W82" s="522"/>
      <c r="X82" s="316"/>
      <c r="Y82" s="316"/>
      <c r="Z82" s="316"/>
      <c r="AA82" s="523" t="str">
        <f>CONCATENATE(Camp_List[[#This Row],[Ethnicity]],"-",Camp_List[[#This Row],[Religion]])</f>
        <v>-</v>
      </c>
      <c r="AB82" s="523"/>
      <c r="AC82" s="316"/>
      <c r="AD82" s="525" t="s">
        <v>722</v>
      </c>
      <c r="AE82" s="316" t="s">
        <v>462</v>
      </c>
      <c r="AF82" s="316" t="s">
        <v>477</v>
      </c>
      <c r="AG82" s="254">
        <v>41520</v>
      </c>
      <c r="AH82" s="527"/>
      <c r="AI82" s="523">
        <f>IFERROR(VLOOKUP(Camp_List[[#This Row],[Responsible Agency]],Organization_t[],3,0),"")</f>
        <v>0</v>
      </c>
      <c r="AJ82" s="530">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t="s">
        <v>415</v>
      </c>
      <c r="I83" s="316" t="s">
        <v>515</v>
      </c>
      <c r="J83" s="316"/>
      <c r="K83" s="316" t="s">
        <v>421</v>
      </c>
      <c r="L83" s="316" t="s">
        <v>81</v>
      </c>
      <c r="M83" s="316" t="s">
        <v>167</v>
      </c>
      <c r="N83" s="64">
        <v>92.896006</v>
      </c>
      <c r="O83" s="64">
        <v>20.154330999999999</v>
      </c>
      <c r="P83" s="316"/>
      <c r="Q83" s="682"/>
      <c r="R83" s="685"/>
      <c r="S83" s="694">
        <v>0</v>
      </c>
      <c r="T83" s="316" t="s">
        <v>326</v>
      </c>
      <c r="U83" s="316" t="s">
        <v>705</v>
      </c>
      <c r="V83" s="521" t="s">
        <v>19</v>
      </c>
      <c r="W83" s="522"/>
      <c r="X83" s="316"/>
      <c r="Y83" s="316"/>
      <c r="Z83" s="316"/>
      <c r="AA83" s="523" t="str">
        <f>CONCATENATE(Camp_List[[#This Row],[Ethnicity]],"-",Camp_List[[#This Row],[Religion]])</f>
        <v>-</v>
      </c>
      <c r="AB83" s="523"/>
      <c r="AC83" s="316"/>
      <c r="AD83" s="525" t="s">
        <v>722</v>
      </c>
      <c r="AE83" s="316" t="s">
        <v>462</v>
      </c>
      <c r="AF83" s="316" t="s">
        <v>477</v>
      </c>
      <c r="AG83" s="254">
        <v>41520</v>
      </c>
      <c r="AH83" s="527"/>
      <c r="AI83" s="523">
        <f>IFERROR(VLOOKUP(Camp_List[[#This Row],[Responsible Agency]],Organization_t[],3,0),"")</f>
        <v>0</v>
      </c>
      <c r="AJ83" s="530">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c r="I84" s="316"/>
      <c r="J84" s="316"/>
      <c r="K84" s="316"/>
      <c r="L84" s="316" t="s">
        <v>91</v>
      </c>
      <c r="M84" s="316" t="s">
        <v>177</v>
      </c>
      <c r="N84" s="64">
        <v>92.893904000000006</v>
      </c>
      <c r="O84" s="64">
        <v>20.146673</v>
      </c>
      <c r="P84" s="316"/>
      <c r="Q84" s="682"/>
      <c r="R84" s="685"/>
      <c r="S84" s="694">
        <v>0</v>
      </c>
      <c r="T84" s="316" t="s">
        <v>326</v>
      </c>
      <c r="U84" s="316" t="s">
        <v>705</v>
      </c>
      <c r="V84" s="521" t="s">
        <v>19</v>
      </c>
      <c r="W84" s="522"/>
      <c r="X84" s="316"/>
      <c r="Y84" s="316"/>
      <c r="Z84" s="316"/>
      <c r="AA84" s="523" t="str">
        <f>CONCATENATE(Camp_List[[#This Row],[Ethnicity]],"-",Camp_List[[#This Row],[Religion]])</f>
        <v>-</v>
      </c>
      <c r="AB84" s="523"/>
      <c r="AC84" s="316"/>
      <c r="AD84" s="525" t="s">
        <v>722</v>
      </c>
      <c r="AE84" s="316" t="s">
        <v>462</v>
      </c>
      <c r="AF84" s="316" t="s">
        <v>477</v>
      </c>
      <c r="AG84" s="254">
        <v>41520</v>
      </c>
      <c r="AH84" s="527"/>
      <c r="AI84" s="523">
        <f>IFERROR(VLOOKUP(Camp_List[[#This Row],[Responsible Agency]],Organization_t[],3,0),"")</f>
        <v>0</v>
      </c>
      <c r="AJ84" s="530">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416</v>
      </c>
      <c r="I85" s="316" t="s">
        <v>515</v>
      </c>
      <c r="J85" s="316"/>
      <c r="K85" s="316" t="s">
        <v>420</v>
      </c>
      <c r="L85" s="316" t="s">
        <v>82</v>
      </c>
      <c r="M85" s="316" t="s">
        <v>168</v>
      </c>
      <c r="N85" s="64">
        <v>92.897783000000004</v>
      </c>
      <c r="O85" s="64">
        <v>20.151050000000001</v>
      </c>
      <c r="P85" s="316"/>
      <c r="Q85" s="682"/>
      <c r="R85" s="685"/>
      <c r="S85" s="694">
        <v>0</v>
      </c>
      <c r="T85" s="316" t="s">
        <v>326</v>
      </c>
      <c r="U85" s="316" t="s">
        <v>705</v>
      </c>
      <c r="V85" s="521" t="s">
        <v>19</v>
      </c>
      <c r="W85" s="522"/>
      <c r="X85" s="316"/>
      <c r="Y85" s="316"/>
      <c r="Z85" s="316"/>
      <c r="AA85" s="523" t="str">
        <f>CONCATENATE(Camp_List[[#This Row],[Ethnicity]],"-",Camp_List[[#This Row],[Religion]])</f>
        <v>-</v>
      </c>
      <c r="AB85" s="523"/>
      <c r="AC85" s="316"/>
      <c r="AD85" s="525" t="s">
        <v>722</v>
      </c>
      <c r="AE85" s="316" t="s">
        <v>462</v>
      </c>
      <c r="AF85" s="316" t="s">
        <v>477</v>
      </c>
      <c r="AG85" s="254">
        <v>41520</v>
      </c>
      <c r="AH85" s="527"/>
      <c r="AI85" s="523">
        <f>IFERROR(VLOOKUP(Camp_List[[#This Row],[Responsible Agency]],Organization_t[],3,0),"")</f>
        <v>0</v>
      </c>
      <c r="AJ85" s="530">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417</v>
      </c>
      <c r="I86" s="316" t="s">
        <v>515</v>
      </c>
      <c r="J86" s="316"/>
      <c r="K86" s="316" t="s">
        <v>422</v>
      </c>
      <c r="L86" s="316" t="s">
        <v>83</v>
      </c>
      <c r="M86" s="316" t="s">
        <v>169</v>
      </c>
      <c r="N86" s="64">
        <v>92.896944000000005</v>
      </c>
      <c r="O86" s="64">
        <v>20.150891999999999</v>
      </c>
      <c r="P86" s="316"/>
      <c r="Q86" s="682"/>
      <c r="R86" s="685"/>
      <c r="S86" s="694">
        <v>0</v>
      </c>
      <c r="T86" s="316" t="s">
        <v>326</v>
      </c>
      <c r="U86" s="316" t="s">
        <v>705</v>
      </c>
      <c r="V86" s="521" t="s">
        <v>19</v>
      </c>
      <c r="W86" s="522"/>
      <c r="X86" s="316"/>
      <c r="Y86" s="316"/>
      <c r="Z86" s="316"/>
      <c r="AA86" s="523" t="str">
        <f>CONCATENATE(Camp_List[[#This Row],[Ethnicity]],"-",Camp_List[[#This Row],[Religion]])</f>
        <v>-</v>
      </c>
      <c r="AB86" s="523"/>
      <c r="AC86" s="316"/>
      <c r="AD86" s="525" t="s">
        <v>722</v>
      </c>
      <c r="AE86" s="316" t="s">
        <v>462</v>
      </c>
      <c r="AF86" s="316" t="s">
        <v>477</v>
      </c>
      <c r="AG86" s="254">
        <v>41520</v>
      </c>
      <c r="AH86" s="527"/>
      <c r="AI86" s="523">
        <f>IFERROR(VLOOKUP(Camp_List[[#This Row],[Responsible Agency]],Organization_t[],3,0),"")</f>
        <v>0</v>
      </c>
      <c r="AJ86" s="530">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404</v>
      </c>
      <c r="I87" s="316" t="s">
        <v>515</v>
      </c>
      <c r="J87" s="316"/>
      <c r="K87" s="316" t="s">
        <v>405</v>
      </c>
      <c r="L87" s="316" t="s">
        <v>84</v>
      </c>
      <c r="M87" s="316" t="s">
        <v>170</v>
      </c>
      <c r="N87" s="64">
        <v>92.894499999999994</v>
      </c>
      <c r="O87" s="64">
        <v>20.1462</v>
      </c>
      <c r="P87" s="316"/>
      <c r="Q87" s="682"/>
      <c r="R87" s="685"/>
      <c r="S87" s="694">
        <v>0</v>
      </c>
      <c r="T87" s="316" t="s">
        <v>326</v>
      </c>
      <c r="U87" s="316" t="s">
        <v>705</v>
      </c>
      <c r="V87" s="521" t="s">
        <v>19</v>
      </c>
      <c r="W87" s="522"/>
      <c r="X87" s="316"/>
      <c r="Y87" s="316"/>
      <c r="Z87" s="316"/>
      <c r="AA87" s="523" t="str">
        <f>CONCATENATE(Camp_List[[#This Row],[Ethnicity]],"-",Camp_List[[#This Row],[Religion]])</f>
        <v>-</v>
      </c>
      <c r="AB87" s="523"/>
      <c r="AC87" s="316"/>
      <c r="AD87" s="525" t="s">
        <v>722</v>
      </c>
      <c r="AE87" s="316" t="s">
        <v>462</v>
      </c>
      <c r="AF87" s="316" t="s">
        <v>477</v>
      </c>
      <c r="AG87" s="254">
        <v>41520</v>
      </c>
      <c r="AH87" s="527"/>
      <c r="AI87" s="523">
        <f>IFERROR(VLOOKUP(Camp_List[[#This Row],[Responsible Agency]],Organization_t[],3,0),"")</f>
        <v>0</v>
      </c>
      <c r="AJ87" s="530">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415</v>
      </c>
      <c r="I88" s="316" t="s">
        <v>515</v>
      </c>
      <c r="J88" s="316"/>
      <c r="K88" s="316" t="s">
        <v>421</v>
      </c>
      <c r="L88" s="316" t="s">
        <v>87</v>
      </c>
      <c r="M88" s="316" t="s">
        <v>173</v>
      </c>
      <c r="N88" s="64">
        <v>92.897932999999995</v>
      </c>
      <c r="O88" s="64">
        <v>20.155850000000001</v>
      </c>
      <c r="P88" s="316"/>
      <c r="Q88" s="682"/>
      <c r="R88" s="685"/>
      <c r="S88" s="694">
        <v>0</v>
      </c>
      <c r="T88" s="316" t="s">
        <v>326</v>
      </c>
      <c r="U88" s="316" t="s">
        <v>705</v>
      </c>
      <c r="V88" s="521" t="s">
        <v>19</v>
      </c>
      <c r="W88" s="522"/>
      <c r="X88" s="316"/>
      <c r="Y88" s="316"/>
      <c r="Z88" s="316"/>
      <c r="AA88" s="523" t="str">
        <f>CONCATENATE(Camp_List[[#This Row],[Ethnicity]],"-",Camp_List[[#This Row],[Religion]])</f>
        <v>-</v>
      </c>
      <c r="AB88" s="523"/>
      <c r="AC88" s="316"/>
      <c r="AD88" s="525" t="s">
        <v>722</v>
      </c>
      <c r="AE88" s="316" t="s">
        <v>462</v>
      </c>
      <c r="AF88" s="316" t="s">
        <v>477</v>
      </c>
      <c r="AG88" s="254">
        <v>41520</v>
      </c>
      <c r="AH88" s="527"/>
      <c r="AI88" s="523">
        <f>IFERROR(VLOOKUP(Camp_List[[#This Row],[Responsible Agency]],Organization_t[],3,0),"")</f>
        <v>0</v>
      </c>
      <c r="AJ88" s="530">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418</v>
      </c>
      <c r="I89" s="316" t="s">
        <v>515</v>
      </c>
      <c r="J89" s="316"/>
      <c r="K89" s="316" t="s">
        <v>423</v>
      </c>
      <c r="L89" s="316" t="s">
        <v>85</v>
      </c>
      <c r="M89" s="316" t="s">
        <v>171</v>
      </c>
      <c r="N89" s="64">
        <v>92.888949999999994</v>
      </c>
      <c r="O89" s="64">
        <v>20.125032999999998</v>
      </c>
      <c r="P89" s="316"/>
      <c r="Q89" s="682"/>
      <c r="R89" s="685"/>
      <c r="S89" s="694">
        <v>0</v>
      </c>
      <c r="T89" s="316" t="s">
        <v>326</v>
      </c>
      <c r="U89" s="316" t="s">
        <v>705</v>
      </c>
      <c r="V89" s="521" t="s">
        <v>19</v>
      </c>
      <c r="W89" s="522"/>
      <c r="X89" s="316"/>
      <c r="Y89" s="316"/>
      <c r="Z89" s="316"/>
      <c r="AA89" s="523" t="str">
        <f>CONCATENATE(Camp_List[[#This Row],[Ethnicity]],"-",Camp_List[[#This Row],[Religion]])</f>
        <v>-</v>
      </c>
      <c r="AB89" s="523"/>
      <c r="AC89" s="316"/>
      <c r="AD89" s="525" t="s">
        <v>722</v>
      </c>
      <c r="AE89" s="316" t="s">
        <v>462</v>
      </c>
      <c r="AF89" s="316" t="s">
        <v>477</v>
      </c>
      <c r="AG89" s="254">
        <v>41520</v>
      </c>
      <c r="AH89" s="527"/>
      <c r="AI89" s="523">
        <f>IFERROR(VLOOKUP(Camp_List[[#This Row],[Responsible Agency]],Organization_t[],3,0),"")</f>
        <v>0</v>
      </c>
      <c r="AJ89" s="530">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419</v>
      </c>
      <c r="I90" s="316" t="s">
        <v>515</v>
      </c>
      <c r="J90" s="316"/>
      <c r="K90" s="316" t="s">
        <v>424</v>
      </c>
      <c r="L90" s="316" t="s">
        <v>89</v>
      </c>
      <c r="M90" s="316" t="s">
        <v>175</v>
      </c>
      <c r="N90" s="64">
        <v>92.892431999999999</v>
      </c>
      <c r="O90" s="64">
        <v>20.146041</v>
      </c>
      <c r="P90" s="316"/>
      <c r="Q90" s="682"/>
      <c r="R90" s="685"/>
      <c r="S90" s="694">
        <v>0</v>
      </c>
      <c r="T90" s="316" t="s">
        <v>326</v>
      </c>
      <c r="U90" s="316" t="s">
        <v>705</v>
      </c>
      <c r="V90" s="521" t="s">
        <v>19</v>
      </c>
      <c r="W90" s="522"/>
      <c r="X90" s="316"/>
      <c r="Y90" s="316"/>
      <c r="Z90" s="316"/>
      <c r="AA90" s="523" t="str">
        <f>CONCATENATE(Camp_List[[#This Row],[Ethnicity]],"-",Camp_List[[#This Row],[Religion]])</f>
        <v>-</v>
      </c>
      <c r="AB90" s="523"/>
      <c r="AC90" s="316"/>
      <c r="AD90" s="525" t="s">
        <v>722</v>
      </c>
      <c r="AE90" s="316" t="s">
        <v>462</v>
      </c>
      <c r="AF90" s="316" t="s">
        <v>477</v>
      </c>
      <c r="AG90" s="254">
        <v>41520</v>
      </c>
      <c r="AH90" s="527"/>
      <c r="AI90" s="523">
        <f>IFERROR(VLOOKUP(Camp_List[[#This Row],[Responsible Agency]],Organization_t[],3,0),"")</f>
        <v>0</v>
      </c>
      <c r="AJ90" s="530">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404</v>
      </c>
      <c r="I91" s="316" t="s">
        <v>515</v>
      </c>
      <c r="J91" s="316"/>
      <c r="K91" s="316" t="s">
        <v>405</v>
      </c>
      <c r="L91" s="316" t="s">
        <v>86</v>
      </c>
      <c r="M91" s="316" t="s">
        <v>172</v>
      </c>
      <c r="N91" s="64">
        <v>92.896417999999997</v>
      </c>
      <c r="O91" s="64">
        <v>20.152895000000001</v>
      </c>
      <c r="P91" s="316"/>
      <c r="Q91" s="682"/>
      <c r="R91" s="685"/>
      <c r="S91" s="694">
        <v>0</v>
      </c>
      <c r="T91" s="316" t="s">
        <v>326</v>
      </c>
      <c r="U91" s="316" t="s">
        <v>705</v>
      </c>
      <c r="V91" s="521" t="s">
        <v>19</v>
      </c>
      <c r="W91" s="522"/>
      <c r="X91" s="316"/>
      <c r="Y91" s="316"/>
      <c r="Z91" s="316"/>
      <c r="AA91" s="523" t="str">
        <f>CONCATENATE(Camp_List[[#This Row],[Ethnicity]],"-",Camp_List[[#This Row],[Religion]])</f>
        <v>-</v>
      </c>
      <c r="AB91" s="523"/>
      <c r="AC91" s="316"/>
      <c r="AD91" s="525" t="s">
        <v>722</v>
      </c>
      <c r="AE91" s="316" t="s">
        <v>462</v>
      </c>
      <c r="AF91" s="316" t="s">
        <v>477</v>
      </c>
      <c r="AG91" s="254">
        <v>41520</v>
      </c>
      <c r="AH91" s="527"/>
      <c r="AI91" s="523">
        <f>IFERROR(VLOOKUP(Camp_List[[#This Row],[Responsible Agency]],Organization_t[],3,0),"")</f>
        <v>0</v>
      </c>
      <c r="AJ91" s="530">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415</v>
      </c>
      <c r="I92" s="316" t="s">
        <v>515</v>
      </c>
      <c r="J92" s="316"/>
      <c r="K92" s="316" t="s">
        <v>421</v>
      </c>
      <c r="L92" s="316" t="s">
        <v>94</v>
      </c>
      <c r="M92" s="316" t="s">
        <v>180</v>
      </c>
      <c r="N92" s="64">
        <v>92.896533000000005</v>
      </c>
      <c r="O92" s="64">
        <v>20.15465</v>
      </c>
      <c r="P92" s="316"/>
      <c r="Q92" s="682"/>
      <c r="R92" s="685"/>
      <c r="S92" s="694">
        <v>0</v>
      </c>
      <c r="T92" s="316" t="s">
        <v>326</v>
      </c>
      <c r="U92" s="316" t="s">
        <v>705</v>
      </c>
      <c r="V92" s="521" t="s">
        <v>19</v>
      </c>
      <c r="W92" s="522"/>
      <c r="X92" s="316"/>
      <c r="Y92" s="316"/>
      <c r="Z92" s="316"/>
      <c r="AA92" s="523" t="str">
        <f>CONCATENATE(Camp_List[[#This Row],[Ethnicity]],"-",Camp_List[[#This Row],[Religion]])</f>
        <v>-</v>
      </c>
      <c r="AB92" s="523"/>
      <c r="AC92" s="316"/>
      <c r="AD92" s="525" t="s">
        <v>722</v>
      </c>
      <c r="AE92" s="316" t="s">
        <v>462</v>
      </c>
      <c r="AF92" s="316" t="s">
        <v>477</v>
      </c>
      <c r="AG92" s="254">
        <v>41520</v>
      </c>
      <c r="AH92" s="527"/>
      <c r="AI92" s="523">
        <f>IFERROR(VLOOKUP(Camp_List[[#This Row],[Responsible Agency]],Organization_t[],3,0),"")</f>
        <v>0</v>
      </c>
      <c r="AJ92" s="530">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419</v>
      </c>
      <c r="I93" s="316" t="s">
        <v>515</v>
      </c>
      <c r="J93" s="316"/>
      <c r="K93" s="316" t="s">
        <v>424</v>
      </c>
      <c r="L93" s="316" t="s">
        <v>93</v>
      </c>
      <c r="M93" s="316" t="s">
        <v>179</v>
      </c>
      <c r="N93" s="64">
        <v>92.893332999999998</v>
      </c>
      <c r="O93" s="64">
        <v>20.146117</v>
      </c>
      <c r="P93" s="316"/>
      <c r="Q93" s="682"/>
      <c r="R93" s="685"/>
      <c r="S93" s="694">
        <v>0</v>
      </c>
      <c r="T93" s="316" t="s">
        <v>326</v>
      </c>
      <c r="U93" s="316" t="s">
        <v>705</v>
      </c>
      <c r="V93" s="521" t="s">
        <v>19</v>
      </c>
      <c r="W93" s="522"/>
      <c r="X93" s="316"/>
      <c r="Y93" s="316"/>
      <c r="Z93" s="316"/>
      <c r="AA93" s="523" t="str">
        <f>CONCATENATE(Camp_List[[#This Row],[Ethnicity]],"-",Camp_List[[#This Row],[Religion]])</f>
        <v>-</v>
      </c>
      <c r="AB93" s="523"/>
      <c r="AC93" s="316"/>
      <c r="AD93" s="525" t="s">
        <v>722</v>
      </c>
      <c r="AE93" s="316" t="s">
        <v>462</v>
      </c>
      <c r="AF93" s="316" t="s">
        <v>477</v>
      </c>
      <c r="AG93" s="254">
        <v>41520</v>
      </c>
      <c r="AH93" s="527"/>
      <c r="AI93" s="523">
        <f>IFERROR(VLOOKUP(Camp_List[[#This Row],[Responsible Agency]],Organization_t[],3,0),"")</f>
        <v>0</v>
      </c>
      <c r="AJ93" s="530">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399</v>
      </c>
      <c r="I94" s="316" t="s">
        <v>398</v>
      </c>
      <c r="J94" s="316" t="s">
        <v>454</v>
      </c>
      <c r="K94" s="316">
        <v>196192</v>
      </c>
      <c r="L94" s="316" t="s">
        <v>60</v>
      </c>
      <c r="M94" s="316" t="s">
        <v>146</v>
      </c>
      <c r="N94" s="64">
        <v>92.807418999999996</v>
      </c>
      <c r="O94" s="64">
        <v>20.181238</v>
      </c>
      <c r="P94" s="316"/>
      <c r="Q94" s="681"/>
      <c r="R94" s="684"/>
      <c r="S94" s="694">
        <v>0</v>
      </c>
      <c r="T94" s="316" t="s">
        <v>326</v>
      </c>
      <c r="U94" s="316" t="s">
        <v>705</v>
      </c>
      <c r="V94" s="521" t="s">
        <v>20</v>
      </c>
      <c r="W94" s="522"/>
      <c r="X94" s="316"/>
      <c r="Y94" s="316"/>
      <c r="Z94" s="316"/>
      <c r="AA94" s="523" t="str">
        <f>CONCATENATE(Camp_List[[#This Row],[Ethnicity]],"-",Camp_List[[#This Row],[Religion]])</f>
        <v>-</v>
      </c>
      <c r="AB94" s="523"/>
      <c r="AC94" s="316"/>
      <c r="AD94" s="525" t="s">
        <v>722</v>
      </c>
      <c r="AE94" s="316" t="s">
        <v>462</v>
      </c>
      <c r="AF94" s="316" t="s">
        <v>477</v>
      </c>
      <c r="AG94" s="254">
        <v>41548</v>
      </c>
      <c r="AH94" s="527" t="s">
        <v>966</v>
      </c>
      <c r="AI94" s="523">
        <f>IFERROR(VLOOKUP(Camp_List[[#This Row],[Responsible Agency]],Organization_t[],3,0),"")</f>
        <v>0</v>
      </c>
      <c r="AJ94" s="530">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410</v>
      </c>
      <c r="I95" s="316" t="s">
        <v>515</v>
      </c>
      <c r="J95" s="316"/>
      <c r="K95" s="316" t="s">
        <v>411</v>
      </c>
      <c r="L95" s="316" t="s">
        <v>75</v>
      </c>
      <c r="M95" s="316" t="s">
        <v>161</v>
      </c>
      <c r="N95" s="64">
        <v>92.889384000000007</v>
      </c>
      <c r="O95" s="64">
        <v>20.135473999999999</v>
      </c>
      <c r="P95" s="316"/>
      <c r="Q95" s="681"/>
      <c r="R95" s="684"/>
      <c r="S95" s="694">
        <v>0</v>
      </c>
      <c r="T95" s="316" t="s">
        <v>326</v>
      </c>
      <c r="U95" s="316" t="s">
        <v>705</v>
      </c>
      <c r="V95" s="521" t="s">
        <v>20</v>
      </c>
      <c r="W95" s="522"/>
      <c r="X95" s="316"/>
      <c r="Y95" s="316"/>
      <c r="Z95" s="316"/>
      <c r="AA95" s="523" t="str">
        <f>CONCATENATE(Camp_List[[#This Row],[Ethnicity]],"-",Camp_List[[#This Row],[Religion]])</f>
        <v>-</v>
      </c>
      <c r="AB95" s="523"/>
      <c r="AC95" s="316"/>
      <c r="AD95" s="525" t="s">
        <v>722</v>
      </c>
      <c r="AE95" s="316" t="s">
        <v>462</v>
      </c>
      <c r="AF95" s="316" t="s">
        <v>477</v>
      </c>
      <c r="AG95" s="254">
        <v>41520</v>
      </c>
      <c r="AH95" s="527" t="s">
        <v>967</v>
      </c>
      <c r="AI95" s="523">
        <f>IFERROR(VLOOKUP(Camp_List[[#This Row],[Responsible Agency]],Organization_t[],3,0),"")</f>
        <v>0</v>
      </c>
      <c r="AJ95" s="530">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404</v>
      </c>
      <c r="I96" s="316" t="s">
        <v>515</v>
      </c>
      <c r="J96" s="316"/>
      <c r="K96" s="316" t="s">
        <v>405</v>
      </c>
      <c r="L96" s="316" t="s">
        <v>77</v>
      </c>
      <c r="M96" s="316" t="s">
        <v>163</v>
      </c>
      <c r="N96" s="64">
        <v>92.897177999999997</v>
      </c>
      <c r="O96" s="64">
        <v>20.153129</v>
      </c>
      <c r="P96" s="316"/>
      <c r="Q96" s="681"/>
      <c r="R96" s="684"/>
      <c r="S96" s="694">
        <v>0</v>
      </c>
      <c r="T96" s="316" t="s">
        <v>326</v>
      </c>
      <c r="U96" s="316" t="s">
        <v>705</v>
      </c>
      <c r="V96" s="521" t="s">
        <v>20</v>
      </c>
      <c r="W96" s="522"/>
      <c r="X96" s="316"/>
      <c r="Y96" s="316"/>
      <c r="Z96" s="316"/>
      <c r="AA96" s="523" t="str">
        <f>CONCATENATE(Camp_List[[#This Row],[Ethnicity]],"-",Camp_List[[#This Row],[Religion]])</f>
        <v>-</v>
      </c>
      <c r="AB96" s="523"/>
      <c r="AC96" s="316"/>
      <c r="AD96" s="525" t="s">
        <v>722</v>
      </c>
      <c r="AE96" s="316" t="s">
        <v>462</v>
      </c>
      <c r="AF96" s="316" t="s">
        <v>477</v>
      </c>
      <c r="AG96" s="254">
        <v>41520</v>
      </c>
      <c r="AH96" s="527" t="s">
        <v>968</v>
      </c>
      <c r="AI96" s="523">
        <f>IFERROR(VLOOKUP(Camp_List[[#This Row],[Responsible Agency]],Organization_t[],3,0),"")</f>
        <v>0</v>
      </c>
      <c r="AJ96" s="530">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399</v>
      </c>
      <c r="I97" s="316" t="s">
        <v>398</v>
      </c>
      <c r="J97" s="316"/>
      <c r="K97" s="316"/>
      <c r="L97" s="316" t="s">
        <v>507</v>
      </c>
      <c r="M97" s="316" t="s">
        <v>508</v>
      </c>
      <c r="N97" s="64">
        <v>92.816638999999995</v>
      </c>
      <c r="O97" s="64">
        <v>20.180194</v>
      </c>
      <c r="P97" s="316"/>
      <c r="Q97" s="681"/>
      <c r="R97" s="684"/>
      <c r="S97" s="694">
        <v>0</v>
      </c>
      <c r="T97" s="316" t="s">
        <v>326</v>
      </c>
      <c r="U97" s="316" t="s">
        <v>705</v>
      </c>
      <c r="V97" s="521" t="s">
        <v>20</v>
      </c>
      <c r="W97" s="522"/>
      <c r="X97" s="316"/>
      <c r="Y97" s="316"/>
      <c r="Z97" s="316"/>
      <c r="AA97" s="523" t="str">
        <f>CONCATENATE(Camp_List[[#This Row],[Ethnicity]],"-",Camp_List[[#This Row],[Religion]])</f>
        <v>-</v>
      </c>
      <c r="AB97" s="523"/>
      <c r="AC97" s="316"/>
      <c r="AD97" s="525" t="s">
        <v>722</v>
      </c>
      <c r="AE97" s="316" t="s">
        <v>462</v>
      </c>
      <c r="AF97" s="316" t="s">
        <v>477</v>
      </c>
      <c r="AG97" s="254">
        <v>41548</v>
      </c>
      <c r="AH97" s="527"/>
      <c r="AI97" s="523">
        <f>IFERROR(VLOOKUP(Camp_List[[#This Row],[Responsible Agency]],Organization_t[],3,0),"")</f>
        <v>0</v>
      </c>
      <c r="AJ97" s="530">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397</v>
      </c>
      <c r="I98" s="316" t="s">
        <v>396</v>
      </c>
      <c r="J98" s="316" t="s">
        <v>460</v>
      </c>
      <c r="K98" s="316">
        <v>196207</v>
      </c>
      <c r="L98" s="316" t="s">
        <v>69</v>
      </c>
      <c r="M98" s="316" t="s">
        <v>155</v>
      </c>
      <c r="N98" s="64">
        <v>92.826407000000003</v>
      </c>
      <c r="O98" s="64">
        <v>20.175169</v>
      </c>
      <c r="P98" s="316"/>
      <c r="Q98" s="681"/>
      <c r="R98" s="684"/>
      <c r="S98" s="694">
        <v>0</v>
      </c>
      <c r="T98" s="316" t="s">
        <v>326</v>
      </c>
      <c r="U98" s="316" t="s">
        <v>705</v>
      </c>
      <c r="V98" s="521" t="s">
        <v>20</v>
      </c>
      <c r="W98" s="522"/>
      <c r="X98" s="316"/>
      <c r="Y98" s="316"/>
      <c r="Z98" s="316"/>
      <c r="AA98" s="523" t="str">
        <f>CONCATENATE(Camp_List[[#This Row],[Ethnicity]],"-",Camp_List[[#This Row],[Religion]])</f>
        <v>-</v>
      </c>
      <c r="AB98" s="523"/>
      <c r="AC98" s="316"/>
      <c r="AD98" s="525" t="s">
        <v>722</v>
      </c>
      <c r="AE98" s="316" t="s">
        <v>462</v>
      </c>
      <c r="AF98" s="316" t="s">
        <v>477</v>
      </c>
      <c r="AG98" s="254">
        <v>41520</v>
      </c>
      <c r="AH98" s="527" t="s">
        <v>969</v>
      </c>
      <c r="AI98" s="523">
        <f>IFERROR(VLOOKUP(Camp_List[[#This Row],[Responsible Agency]],Organization_t[],3,0),"")</f>
        <v>0</v>
      </c>
      <c r="AJ98" s="530">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407</v>
      </c>
      <c r="I99" s="316" t="s">
        <v>515</v>
      </c>
      <c r="J99" s="316"/>
      <c r="K99" s="316" t="s">
        <v>406</v>
      </c>
      <c r="L99" s="316" t="s">
        <v>73</v>
      </c>
      <c r="M99" s="316" t="s">
        <v>159</v>
      </c>
      <c r="N99" s="64">
        <v>92.886889999999994</v>
      </c>
      <c r="O99" s="64">
        <v>20.132694999999998</v>
      </c>
      <c r="P99" s="316"/>
      <c r="Q99" s="681"/>
      <c r="R99" s="684"/>
      <c r="S99" s="694">
        <v>0</v>
      </c>
      <c r="T99" s="316" t="s">
        <v>326</v>
      </c>
      <c r="U99" s="316" t="s">
        <v>705</v>
      </c>
      <c r="V99" s="521" t="s">
        <v>20</v>
      </c>
      <c r="W99" s="522"/>
      <c r="X99" s="316"/>
      <c r="Y99" s="316"/>
      <c r="Z99" s="316"/>
      <c r="AA99" s="523" t="str">
        <f>CONCATENATE(Camp_List[[#This Row],[Ethnicity]],"-",Camp_List[[#This Row],[Religion]])</f>
        <v>-</v>
      </c>
      <c r="AB99" s="523"/>
      <c r="AC99" s="316"/>
      <c r="AD99" s="525" t="s">
        <v>722</v>
      </c>
      <c r="AE99" s="316" t="s">
        <v>462</v>
      </c>
      <c r="AF99" s="316" t="s">
        <v>477</v>
      </c>
      <c r="AG99" s="254">
        <v>41520</v>
      </c>
      <c r="AH99" s="527" t="s">
        <v>970</v>
      </c>
      <c r="AI99" s="523">
        <f>IFERROR(VLOOKUP(Camp_List[[#This Row],[Responsible Agency]],Organization_t[],3,0),"")</f>
        <v>0</v>
      </c>
      <c r="AJ99" s="530">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408</v>
      </c>
      <c r="I100" s="316" t="s">
        <v>515</v>
      </c>
      <c r="J100" s="316"/>
      <c r="K100" s="316" t="s">
        <v>409</v>
      </c>
      <c r="L100" s="316" t="s">
        <v>74</v>
      </c>
      <c r="M100" s="316" t="s">
        <v>160</v>
      </c>
      <c r="N100" s="64">
        <v>92.860598999999993</v>
      </c>
      <c r="O100" s="64">
        <v>20.154343000000001</v>
      </c>
      <c r="P100" s="316"/>
      <c r="Q100" s="681"/>
      <c r="R100" s="684"/>
      <c r="S100" s="694">
        <v>0</v>
      </c>
      <c r="T100" s="316" t="s">
        <v>326</v>
      </c>
      <c r="U100" s="316" t="s">
        <v>705</v>
      </c>
      <c r="V100" s="521" t="s">
        <v>20</v>
      </c>
      <c r="W100" s="522"/>
      <c r="X100" s="316"/>
      <c r="Y100" s="316"/>
      <c r="Z100" s="316"/>
      <c r="AA100" s="523" t="str">
        <f>CONCATENATE(Camp_List[[#This Row],[Ethnicity]],"-",Camp_List[[#This Row],[Religion]])</f>
        <v>-</v>
      </c>
      <c r="AB100" s="523"/>
      <c r="AC100" s="316"/>
      <c r="AD100" s="525" t="s">
        <v>722</v>
      </c>
      <c r="AE100" s="316" t="s">
        <v>462</v>
      </c>
      <c r="AF100" s="316" t="s">
        <v>477</v>
      </c>
      <c r="AG100" s="254">
        <v>41520</v>
      </c>
      <c r="AH100" s="527" t="s">
        <v>971</v>
      </c>
      <c r="AI100" s="523">
        <f>IFERROR(VLOOKUP(Camp_List[[#This Row],[Responsible Agency]],Organization_t[],3,0),"")</f>
        <v>0</v>
      </c>
      <c r="AJ100" s="530">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63</v>
      </c>
      <c r="M101" s="316" t="s">
        <v>149</v>
      </c>
      <c r="N101" s="64">
        <v>92.798676999999998</v>
      </c>
      <c r="O101" s="64">
        <v>20.187750999999999</v>
      </c>
      <c r="P101" s="316"/>
      <c r="Q101" s="681"/>
      <c r="R101" s="684"/>
      <c r="S101" s="694">
        <v>0</v>
      </c>
      <c r="T101" s="316" t="s">
        <v>326</v>
      </c>
      <c r="U101" s="316" t="s">
        <v>705</v>
      </c>
      <c r="V101" s="521" t="s">
        <v>20</v>
      </c>
      <c r="W101" s="522"/>
      <c r="X101" s="316"/>
      <c r="Y101" s="316"/>
      <c r="Z101" s="316"/>
      <c r="AA101" s="523" t="str">
        <f>CONCATENATE(Camp_List[[#This Row],[Ethnicity]],"-",Camp_List[[#This Row],[Religion]])</f>
        <v>-</v>
      </c>
      <c r="AB101" s="523"/>
      <c r="AC101" s="316"/>
      <c r="AD101" s="525" t="s">
        <v>722</v>
      </c>
      <c r="AE101" s="316" t="s">
        <v>462</v>
      </c>
      <c r="AF101" s="316" t="s">
        <v>477</v>
      </c>
      <c r="AG101" s="254">
        <v>41548</v>
      </c>
      <c r="AH101" s="527" t="s">
        <v>972</v>
      </c>
      <c r="AI101" s="523">
        <f>IFERROR(VLOOKUP(Camp_List[[#This Row],[Responsible Agency]],Organization_t[],3,0),"")</f>
        <v>0</v>
      </c>
      <c r="AJ101" s="530">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231</v>
      </c>
      <c r="M102" s="316" t="s">
        <v>266</v>
      </c>
      <c r="N102" s="64">
        <v>92.800693999999993</v>
      </c>
      <c r="O102" s="64">
        <v>20.190055999999998</v>
      </c>
      <c r="P102" s="316"/>
      <c r="Q102" s="681"/>
      <c r="R102" s="684"/>
      <c r="S102" s="694">
        <v>0</v>
      </c>
      <c r="T102" s="316" t="s">
        <v>326</v>
      </c>
      <c r="U102" s="316" t="s">
        <v>705</v>
      </c>
      <c r="V102" s="521" t="s">
        <v>20</v>
      </c>
      <c r="W102" s="522"/>
      <c r="X102" s="316"/>
      <c r="Y102" s="316"/>
      <c r="Z102" s="316"/>
      <c r="AA102" s="523" t="str">
        <f>CONCATENATE(Camp_List[[#This Row],[Ethnicity]],"-",Camp_List[[#This Row],[Religion]])</f>
        <v>-</v>
      </c>
      <c r="AB102" s="523"/>
      <c r="AC102" s="316"/>
      <c r="AD102" s="525" t="s">
        <v>722</v>
      </c>
      <c r="AE102" s="316" t="s">
        <v>462</v>
      </c>
      <c r="AF102" s="316" t="s">
        <v>477</v>
      </c>
      <c r="AG102" s="254">
        <v>41548</v>
      </c>
      <c r="AH102" s="527" t="s">
        <v>973</v>
      </c>
      <c r="AI102" s="523">
        <f>IFERROR(VLOOKUP(Camp_List[[#This Row],[Responsible Agency]],Organization_t[],3,0),"")</f>
        <v>0</v>
      </c>
      <c r="AJ102" s="530">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262</v>
      </c>
      <c r="M103" s="316" t="s">
        <v>503</v>
      </c>
      <c r="N103" s="64">
        <v>92.800528</v>
      </c>
      <c r="O103" s="64">
        <v>20.185583000000001</v>
      </c>
      <c r="P103" s="316"/>
      <c r="Q103" s="681"/>
      <c r="R103" s="684"/>
      <c r="S103" s="694">
        <v>0</v>
      </c>
      <c r="T103" s="316" t="s">
        <v>326</v>
      </c>
      <c r="U103" s="316" t="s">
        <v>705</v>
      </c>
      <c r="V103" s="521" t="s">
        <v>20</v>
      </c>
      <c r="W103" s="522"/>
      <c r="X103" s="316"/>
      <c r="Y103" s="316"/>
      <c r="Z103" s="316"/>
      <c r="AA103" s="523" t="str">
        <f>CONCATENATE(Camp_List[[#This Row],[Ethnicity]],"-",Camp_List[[#This Row],[Religion]])</f>
        <v>-</v>
      </c>
      <c r="AB103" s="523"/>
      <c r="AC103" s="316"/>
      <c r="AD103" s="525" t="s">
        <v>722</v>
      </c>
      <c r="AE103" s="316" t="s">
        <v>462</v>
      </c>
      <c r="AF103" s="316" t="s">
        <v>477</v>
      </c>
      <c r="AG103" s="254">
        <v>41548</v>
      </c>
      <c r="AH103" s="527" t="s">
        <v>974</v>
      </c>
      <c r="AI103" s="523">
        <f>IFERROR(VLOOKUP(Camp_List[[#This Row],[Responsible Agency]],Organization_t[],3,0),"")</f>
        <v>0</v>
      </c>
      <c r="AJ103" s="530">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399</v>
      </c>
      <c r="I104" s="316" t="s">
        <v>398</v>
      </c>
      <c r="J104" s="316" t="s">
        <v>454</v>
      </c>
      <c r="K104" s="316">
        <v>196192</v>
      </c>
      <c r="L104" s="316" t="s">
        <v>263</v>
      </c>
      <c r="M104" s="316" t="s">
        <v>504</v>
      </c>
      <c r="N104" s="64">
        <v>92.799861000000007</v>
      </c>
      <c r="O104" s="64">
        <v>20.185193999999999</v>
      </c>
      <c r="P104" s="316"/>
      <c r="Q104" s="681"/>
      <c r="R104" s="684"/>
      <c r="S104" s="694">
        <v>0</v>
      </c>
      <c r="T104" s="316" t="s">
        <v>326</v>
      </c>
      <c r="U104" s="316" t="s">
        <v>705</v>
      </c>
      <c r="V104" s="521" t="s">
        <v>20</v>
      </c>
      <c r="W104" s="522"/>
      <c r="X104" s="316"/>
      <c r="Y104" s="316"/>
      <c r="Z104" s="316"/>
      <c r="AA104" s="523" t="str">
        <f>CONCATENATE(Camp_List[[#This Row],[Ethnicity]],"-",Camp_List[[#This Row],[Religion]])</f>
        <v>-</v>
      </c>
      <c r="AB104" s="523"/>
      <c r="AC104" s="316"/>
      <c r="AD104" s="525" t="s">
        <v>722</v>
      </c>
      <c r="AE104" s="316" t="s">
        <v>462</v>
      </c>
      <c r="AF104" s="316" t="s">
        <v>477</v>
      </c>
      <c r="AG104" s="254">
        <v>41548</v>
      </c>
      <c r="AH104" s="527" t="s">
        <v>975</v>
      </c>
      <c r="AI104" s="523">
        <f>IFERROR(VLOOKUP(Camp_List[[#This Row],[Responsible Agency]],Organization_t[],3,0),"")</f>
        <v>0</v>
      </c>
      <c r="AJ104" s="530">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401</v>
      </c>
      <c r="I105" s="316" t="s">
        <v>400</v>
      </c>
      <c r="J105" s="316" t="s">
        <v>458</v>
      </c>
      <c r="K105" s="316">
        <v>196157</v>
      </c>
      <c r="L105" s="316" t="s">
        <v>64</v>
      </c>
      <c r="M105" s="316" t="s">
        <v>150</v>
      </c>
      <c r="N105" s="64">
        <v>92.788177000000005</v>
      </c>
      <c r="O105" s="64">
        <v>20.207284999999999</v>
      </c>
      <c r="P105" s="316"/>
      <c r="Q105" s="681"/>
      <c r="R105" s="684"/>
      <c r="S105" s="694">
        <v>0</v>
      </c>
      <c r="T105" s="316" t="s">
        <v>326</v>
      </c>
      <c r="U105" s="316" t="s">
        <v>705</v>
      </c>
      <c r="V105" s="521" t="s">
        <v>20</v>
      </c>
      <c r="W105" s="522"/>
      <c r="X105" s="316"/>
      <c r="Y105" s="316"/>
      <c r="Z105" s="316"/>
      <c r="AA105" s="523" t="str">
        <f>CONCATENATE(Camp_List[[#This Row],[Ethnicity]],"-",Camp_List[[#This Row],[Religion]])</f>
        <v>-</v>
      </c>
      <c r="AB105" s="523"/>
      <c r="AC105" s="316"/>
      <c r="AD105" s="525" t="s">
        <v>722</v>
      </c>
      <c r="AE105" s="316" t="s">
        <v>462</v>
      </c>
      <c r="AF105" s="316" t="s">
        <v>477</v>
      </c>
      <c r="AG105" s="254">
        <v>41548</v>
      </c>
      <c r="AH105" s="527" t="s">
        <v>976</v>
      </c>
      <c r="AI105" s="523">
        <f>IFERROR(VLOOKUP(Camp_List[[#This Row],[Responsible Agency]],Organization_t[],3,0),"")</f>
        <v>0</v>
      </c>
      <c r="AJ105" s="530">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457</v>
      </c>
      <c r="K106" s="316">
        <v>196209</v>
      </c>
      <c r="L106" s="316" t="s">
        <v>71</v>
      </c>
      <c r="M106" s="316" t="s">
        <v>157</v>
      </c>
      <c r="N106" s="64">
        <v>92.847966999999997</v>
      </c>
      <c r="O106" s="64">
        <v>20.147107999999999</v>
      </c>
      <c r="P106" s="316"/>
      <c r="Q106" s="681"/>
      <c r="R106" s="684"/>
      <c r="S106" s="694">
        <v>0</v>
      </c>
      <c r="T106" s="316" t="s">
        <v>326</v>
      </c>
      <c r="U106" s="316" t="s">
        <v>705</v>
      </c>
      <c r="V106" s="521" t="s">
        <v>21</v>
      </c>
      <c r="W106" s="522"/>
      <c r="X106" s="316"/>
      <c r="Y106" s="316"/>
      <c r="Z106" s="316"/>
      <c r="AA106" s="523" t="str">
        <f>CONCATENATE(Camp_List[[#This Row],[Ethnicity]],"-",Camp_List[[#This Row],[Religion]])</f>
        <v>-</v>
      </c>
      <c r="AB106" s="523"/>
      <c r="AC106" s="316"/>
      <c r="AD106" s="525" t="s">
        <v>722</v>
      </c>
      <c r="AE106" s="316" t="s">
        <v>462</v>
      </c>
      <c r="AF106" s="316" t="s">
        <v>477</v>
      </c>
      <c r="AG106" s="254">
        <v>41520</v>
      </c>
      <c r="AH106" s="527" t="s">
        <v>977</v>
      </c>
      <c r="AI106" s="523">
        <f>IFERROR(VLOOKUP(Camp_List[[#This Row],[Responsible Agency]],Organization_t[],3,0),"")</f>
        <v>0</v>
      </c>
      <c r="AJ106" s="530">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397</v>
      </c>
      <c r="I107" s="316" t="s">
        <v>396</v>
      </c>
      <c r="J107" s="316" t="s">
        <v>461</v>
      </c>
      <c r="K107" s="316">
        <v>196216</v>
      </c>
      <c r="L107" s="316" t="s">
        <v>72</v>
      </c>
      <c r="M107" s="316" t="s">
        <v>158</v>
      </c>
      <c r="N107" s="64">
        <v>92.848348000000001</v>
      </c>
      <c r="O107" s="64">
        <v>20.133385000000001</v>
      </c>
      <c r="P107" s="316"/>
      <c r="Q107" s="681"/>
      <c r="R107" s="684"/>
      <c r="S107" s="694">
        <v>0</v>
      </c>
      <c r="T107" s="316" t="s">
        <v>326</v>
      </c>
      <c r="U107" s="316" t="s">
        <v>705</v>
      </c>
      <c r="V107" s="521" t="s">
        <v>21</v>
      </c>
      <c r="W107" s="522"/>
      <c r="X107" s="316"/>
      <c r="Y107" s="316"/>
      <c r="Z107" s="316"/>
      <c r="AA107" s="523" t="str">
        <f>CONCATENATE(Camp_List[[#This Row],[Ethnicity]],"-",Camp_List[[#This Row],[Religion]])</f>
        <v>-</v>
      </c>
      <c r="AB107" s="523"/>
      <c r="AC107" s="316"/>
      <c r="AD107" s="525" t="s">
        <v>722</v>
      </c>
      <c r="AE107" s="316" t="s">
        <v>462</v>
      </c>
      <c r="AF107" s="316" t="s">
        <v>477</v>
      </c>
      <c r="AG107" s="254">
        <v>41520</v>
      </c>
      <c r="AH107" s="527"/>
      <c r="AI107" s="523">
        <f>IFERROR(VLOOKUP(Camp_List[[#This Row],[Responsible Agency]],Organization_t[],3,0),"")</f>
        <v>0</v>
      </c>
      <c r="AJ107" s="530">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395</v>
      </c>
      <c r="I108" s="316" t="s">
        <v>394</v>
      </c>
      <c r="J108" s="316" t="s">
        <v>65</v>
      </c>
      <c r="K108" s="316">
        <v>196154</v>
      </c>
      <c r="L108" s="316" t="s">
        <v>70</v>
      </c>
      <c r="M108" s="316" t="s">
        <v>156</v>
      </c>
      <c r="N108" s="64">
        <v>92.792958999999996</v>
      </c>
      <c r="O108" s="64">
        <v>20.205295</v>
      </c>
      <c r="P108" s="316"/>
      <c r="Q108" s="681"/>
      <c r="R108" s="684"/>
      <c r="S108" s="694">
        <v>0</v>
      </c>
      <c r="T108" s="316" t="s">
        <v>326</v>
      </c>
      <c r="U108" s="316" t="s">
        <v>705</v>
      </c>
      <c r="V108" s="521" t="s">
        <v>21</v>
      </c>
      <c r="W108" s="522"/>
      <c r="X108" s="316"/>
      <c r="Y108" s="316"/>
      <c r="Z108" s="316"/>
      <c r="AA108" s="523" t="str">
        <f>CONCATENATE(Camp_List[[#This Row],[Ethnicity]],"-",Camp_List[[#This Row],[Religion]])</f>
        <v>-</v>
      </c>
      <c r="AB108" s="523"/>
      <c r="AC108" s="316"/>
      <c r="AD108" s="525" t="s">
        <v>722</v>
      </c>
      <c r="AE108" s="316" t="s">
        <v>462</v>
      </c>
      <c r="AF108" s="316" t="s">
        <v>477</v>
      </c>
      <c r="AG108" s="254">
        <v>41520</v>
      </c>
      <c r="AH108" s="527" t="s">
        <v>978</v>
      </c>
      <c r="AI108" s="523">
        <f>IFERROR(VLOOKUP(Camp_List[[#This Row],[Responsible Agency]],Organization_t[],3,0),"")</f>
        <v>0</v>
      </c>
      <c r="AJ108" s="530">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332</v>
      </c>
      <c r="B109" s="316" t="s">
        <v>7</v>
      </c>
      <c r="C109" s="316" t="s">
        <v>334</v>
      </c>
      <c r="D109" s="316" t="s">
        <v>17</v>
      </c>
      <c r="E109" s="316" t="s">
        <v>559</v>
      </c>
      <c r="F109" s="316" t="s">
        <v>17</v>
      </c>
      <c r="G109" s="316" t="s">
        <v>393</v>
      </c>
      <c r="H109" s="316" t="s">
        <v>470</v>
      </c>
      <c r="I109" s="316" t="s">
        <v>515</v>
      </c>
      <c r="J109" s="316" t="s">
        <v>516</v>
      </c>
      <c r="K109" s="316" t="s">
        <v>517</v>
      </c>
      <c r="L109" s="316" t="s">
        <v>518</v>
      </c>
      <c r="M109" s="316" t="s">
        <v>519</v>
      </c>
      <c r="N109" s="64">
        <v>92.887277999999995</v>
      </c>
      <c r="O109" s="64">
        <v>20.151471999999998</v>
      </c>
      <c r="P109" s="316"/>
      <c r="Q109" s="681"/>
      <c r="R109" s="684"/>
      <c r="S109" s="694">
        <v>0</v>
      </c>
      <c r="T109" s="316" t="s">
        <v>326</v>
      </c>
      <c r="U109" s="316" t="s">
        <v>705</v>
      </c>
      <c r="V109" s="521" t="s">
        <v>21</v>
      </c>
      <c r="W109" s="522"/>
      <c r="X109" s="316"/>
      <c r="Y109" s="316"/>
      <c r="Z109" s="316"/>
      <c r="AA109" s="523" t="str">
        <f>CONCATENATE(Camp_List[[#This Row],[Ethnicity]],"-",Camp_List[[#This Row],[Religion]])</f>
        <v>-</v>
      </c>
      <c r="AB109" s="523"/>
      <c r="AC109" s="316"/>
      <c r="AD109" s="525" t="s">
        <v>722</v>
      </c>
      <c r="AE109" s="316" t="s">
        <v>462</v>
      </c>
      <c r="AF109" s="316" t="s">
        <v>477</v>
      </c>
      <c r="AG109" s="254">
        <v>41548</v>
      </c>
      <c r="AH109" s="527" t="s">
        <v>979</v>
      </c>
      <c r="AI109" s="523">
        <f>IFERROR(VLOOKUP(Camp_List[[#This Row],[Responsible Agency]],Organization_t[],3,0),"")</f>
        <v>0</v>
      </c>
      <c r="AJ109" s="530">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606</v>
      </c>
      <c r="B110" s="316" t="s">
        <v>7</v>
      </c>
      <c r="C110" s="316" t="s">
        <v>334</v>
      </c>
      <c r="D110" s="316" t="s">
        <v>17</v>
      </c>
      <c r="E110" s="316" t="s">
        <v>559</v>
      </c>
      <c r="F110" s="316" t="s">
        <v>17</v>
      </c>
      <c r="G110" s="316" t="s">
        <v>393</v>
      </c>
      <c r="H110" s="316" t="s">
        <v>397</v>
      </c>
      <c r="I110" s="316" t="s">
        <v>396</v>
      </c>
      <c r="J110" s="316" t="s">
        <v>1159</v>
      </c>
      <c r="K110" s="316">
        <v>196211</v>
      </c>
      <c r="L110" s="316" t="s">
        <v>67</v>
      </c>
      <c r="M110" s="316" t="s">
        <v>153</v>
      </c>
      <c r="N110" s="64">
        <v>92.837576999999996</v>
      </c>
      <c r="O110" s="64">
        <v>20.156842000000001</v>
      </c>
      <c r="P110" s="316"/>
      <c r="Q110" s="681"/>
      <c r="R110" s="684"/>
      <c r="S110" s="694">
        <v>0</v>
      </c>
      <c r="T110" s="316" t="s">
        <v>326</v>
      </c>
      <c r="U110" s="316" t="s">
        <v>705</v>
      </c>
      <c r="V110" s="521" t="s">
        <v>21</v>
      </c>
      <c r="W110" s="522"/>
      <c r="X110" s="316"/>
      <c r="Y110" s="316"/>
      <c r="Z110" s="316"/>
      <c r="AA110" s="523" t="str">
        <f>CONCATENATE(Camp_List[[#This Row],[Ethnicity]],"-",Camp_List[[#This Row],[Religion]])</f>
        <v>-</v>
      </c>
      <c r="AB110" s="523"/>
      <c r="AC110" s="316"/>
      <c r="AD110" s="525" t="s">
        <v>722</v>
      </c>
      <c r="AE110" s="316" t="s">
        <v>462</v>
      </c>
      <c r="AF110" s="316" t="s">
        <v>477</v>
      </c>
      <c r="AG110" s="254">
        <v>41579</v>
      </c>
      <c r="AH110" s="527" t="s">
        <v>980</v>
      </c>
      <c r="AI110" s="523">
        <f>IFERROR(VLOOKUP(Camp_List[[#This Row],[Responsible Agency]],Organization_t[],3,0),"")</f>
        <v>0</v>
      </c>
      <c r="AJ110" s="530">
        <f>IF((SUMIFS(Data_Shelter_t[Coverage],Data_Shelter_t[Pcode],Camp_List[[#This Row],[P_Code]]))&gt;1,1,SUMIFS(Data_Shelter_t[Coverage],Data_Shelter_t[Pcode],Camp_List[[#This Row],[P_Code]]))</f>
        <v>0</v>
      </c>
      <c r="BL110" s="16"/>
      <c r="BM110" s="16"/>
      <c r="BP110" s="58"/>
      <c r="BQ110" s="58"/>
    </row>
    <row r="111" spans="1:69" ht="17.25" hidden="1" customHeight="1" x14ac:dyDescent="0.25">
      <c r="A111" s="316" t="s">
        <v>332</v>
      </c>
      <c r="B111" s="316" t="s">
        <v>7</v>
      </c>
      <c r="C111" s="316" t="s">
        <v>334</v>
      </c>
      <c r="D111" s="316" t="s">
        <v>17</v>
      </c>
      <c r="E111" s="316" t="s">
        <v>559</v>
      </c>
      <c r="F111" s="316" t="s">
        <v>17</v>
      </c>
      <c r="G111" s="316" t="s">
        <v>393</v>
      </c>
      <c r="H111" s="316" t="s">
        <v>397</v>
      </c>
      <c r="I111" s="316" t="s">
        <v>396</v>
      </c>
      <c r="J111" s="316" t="s">
        <v>1159</v>
      </c>
      <c r="K111" s="316">
        <v>196211</v>
      </c>
      <c r="L111" s="316" t="s">
        <v>505</v>
      </c>
      <c r="M111" s="316" t="s">
        <v>506</v>
      </c>
      <c r="N111" s="64">
        <v>92.839166000000006</v>
      </c>
      <c r="O111" s="64">
        <v>20.157311</v>
      </c>
      <c r="P111" s="316"/>
      <c r="Q111" s="682"/>
      <c r="R111" s="685"/>
      <c r="S111" s="694"/>
      <c r="T111" s="316" t="s">
        <v>326</v>
      </c>
      <c r="U111" s="316" t="s">
        <v>705</v>
      </c>
      <c r="V111" s="521" t="s">
        <v>756</v>
      </c>
      <c r="W111" s="522"/>
      <c r="X111" s="316"/>
      <c r="Y111" s="316"/>
      <c r="Z111" s="316"/>
      <c r="AA111" s="523"/>
      <c r="AB111" s="523"/>
      <c r="AC111" s="316"/>
      <c r="AD111" s="525"/>
      <c r="AE111" s="316"/>
      <c r="AF111" s="316"/>
      <c r="AG111" s="254">
        <v>42278</v>
      </c>
      <c r="AH111" s="527" t="s">
        <v>816</v>
      </c>
      <c r="AI111" s="523" t="str">
        <f>IFERROR(VLOOKUP(Camp_List[[#This Row],[Responsible Agency]],Organization_t[],3,0),"")</f>
        <v/>
      </c>
      <c r="AJ111" s="530">
        <f>IF((SUMIFS(Data_Shelter_t[Coverage],Data_Shelter_t[Pcode],Camp_List[[#This Row],[P_Code]]))&gt;1,1,SUMIFS(Data_Shelter_t[Coverage],Data_Shelter_t[Pcode],Camp_List[[#This Row],[P_Code]]))</f>
        <v>0</v>
      </c>
      <c r="BL111" s="16"/>
      <c r="BM111" s="16"/>
      <c r="BP111" s="58"/>
      <c r="BQ111" s="58"/>
    </row>
    <row r="112" spans="1:69" ht="15" customHeight="1" x14ac:dyDescent="0.25">
      <c r="A112" s="64"/>
      <c r="B112" s="64"/>
      <c r="C112" s="64"/>
      <c r="D112" s="64"/>
      <c r="E112" s="64"/>
      <c r="F112" s="64"/>
      <c r="G112" s="64"/>
      <c r="H112" s="64"/>
      <c r="I112" s="64"/>
      <c r="J112" s="64"/>
      <c r="K112" s="64"/>
      <c r="L112" s="316"/>
      <c r="M112" s="64"/>
      <c r="N112" s="64"/>
      <c r="O112" s="64"/>
      <c r="P112" s="64"/>
      <c r="Q112" s="252"/>
      <c r="R112" s="677"/>
      <c r="S112" s="694"/>
      <c r="T112" s="521"/>
      <c r="U112" s="64"/>
      <c r="V112" s="572"/>
      <c r="W112" s="573"/>
      <c r="X112" s="64"/>
      <c r="Y112" s="64"/>
      <c r="Z112" s="64"/>
      <c r="AA112" s="523" t="str">
        <f>CONCATENATE(Camp_List[[#This Row],[Ethnicity]],"-",Camp_List[[#This Row],[Religion]])</f>
        <v>-</v>
      </c>
      <c r="AB112" s="523"/>
      <c r="AC112" s="525"/>
      <c r="AD112" s="525"/>
      <c r="AE112" s="573"/>
      <c r="AF112" s="64"/>
      <c r="AG112" s="574"/>
      <c r="AH112" s="523"/>
      <c r="AI112" s="575" t="str">
        <f>IFERROR(VLOOKUP(Camp_List[[#This Row],[Responsible Agency]],Organization_t[],3,0),"")</f>
        <v/>
      </c>
      <c r="AJ112" s="530">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677"/>
      <c r="S113" s="694"/>
      <c r="T113" s="521"/>
      <c r="U113" s="64"/>
      <c r="V113" s="572"/>
      <c r="W113" s="573"/>
      <c r="X113" s="64"/>
      <c r="Y113" s="64"/>
      <c r="Z113" s="64"/>
      <c r="AA113" s="523" t="str">
        <f>CONCATENATE(Camp_List[[#This Row],[Ethnicity]],"-",Camp_List[[#This Row],[Religion]])</f>
        <v>-</v>
      </c>
      <c r="AB113" s="523"/>
      <c r="AC113" s="525"/>
      <c r="AD113" s="525"/>
      <c r="AE113" s="573"/>
      <c r="AF113" s="64"/>
      <c r="AG113" s="574"/>
      <c r="AH113" s="523"/>
      <c r="AI113" s="575" t="str">
        <f>IFERROR(VLOOKUP(Camp_List[[#This Row],[Responsible Agency]],Organization_t[],3,0),"")</f>
        <v/>
      </c>
      <c r="AJ113" s="530">
        <f>IF((SUMIFS(Data_Shelter_t[Coverage],Data_Shelter_t[Pcode],Camp_List[[#This Row],[P_Code]]))&gt;1,1,SUMIFS(Data_Shelter_t[Coverage],Data_Shelter_t[Pcode],Camp_List[[#This Row],[P_Code]]))</f>
        <v>0</v>
      </c>
    </row>
    <row r="114" spans="1:36" ht="15" customHeight="1" x14ac:dyDescent="0.25">
      <c r="A114" s="64"/>
      <c r="B114" s="64"/>
      <c r="C114" s="64"/>
      <c r="D114" s="64"/>
      <c r="E114" s="64"/>
      <c r="F114" s="64"/>
      <c r="G114" s="64"/>
      <c r="H114" s="64"/>
      <c r="I114" s="64"/>
      <c r="J114" s="64"/>
      <c r="K114" s="64"/>
      <c r="L114" s="316"/>
      <c r="M114" s="64"/>
      <c r="N114" s="64"/>
      <c r="O114" s="64"/>
      <c r="P114" s="64"/>
      <c r="Q114" s="252"/>
      <c r="R114" s="677"/>
      <c r="S114" s="694"/>
      <c r="T114" s="521"/>
      <c r="U114" s="64"/>
      <c r="V114" s="572"/>
      <c r="W114" s="573"/>
      <c r="X114" s="64"/>
      <c r="Y114" s="64"/>
      <c r="Z114" s="64"/>
      <c r="AA114" s="523" t="str">
        <f>CONCATENATE(Camp_List[[#This Row],[Ethnicity]],"-",Camp_List[[#This Row],[Religion]])</f>
        <v>-</v>
      </c>
      <c r="AB114" s="523"/>
      <c r="AC114" s="525"/>
      <c r="AD114" s="525"/>
      <c r="AE114" s="573"/>
      <c r="AF114" s="64"/>
      <c r="AG114" s="574"/>
      <c r="AH114" s="523"/>
      <c r="AI114" s="575" t="str">
        <f>IFERROR(VLOOKUP(Camp_List[[#This Row],[Responsible Agency]],Organization_t[],3,0),"")</f>
        <v/>
      </c>
      <c r="AJ114" s="530">
        <f>IF((SUMIFS(Data_Shelter_t[Coverage],Data_Shelter_t[Pcode],Camp_List[[#This Row],[P_Code]]))&gt;1,1,SUMIFS(Data_Shelter_t[Coverage],Data_Shelter_t[Pcode],Camp_List[[#This Row],[P_Code]]))</f>
        <v>0</v>
      </c>
    </row>
    <row r="115" spans="1:36" ht="15" customHeight="1" x14ac:dyDescent="0.25">
      <c r="A115" s="64"/>
      <c r="B115" s="64"/>
      <c r="C115" s="64"/>
      <c r="D115" s="452"/>
      <c r="E115" s="64"/>
      <c r="F115" s="64"/>
      <c r="G115" s="64"/>
      <c r="H115" s="64"/>
      <c r="I115" s="64"/>
      <c r="J115" s="64"/>
      <c r="K115" s="452"/>
      <c r="L115" s="316"/>
      <c r="M115" s="64"/>
      <c r="N115" s="64"/>
      <c r="O115" s="64"/>
      <c r="P115" s="64"/>
      <c r="Q115" s="252"/>
      <c r="R115" s="677"/>
      <c r="S115" s="694"/>
      <c r="T115" s="521"/>
      <c r="U115" s="64"/>
      <c r="V115" s="572"/>
      <c r="W115" s="573"/>
      <c r="X115" s="64"/>
      <c r="Y115" s="64"/>
      <c r="Z115" s="64"/>
      <c r="AA115" s="523" t="str">
        <f>CONCATENATE(Camp_List[[#This Row],[Ethnicity]],"-",Camp_List[[#This Row],[Religion]])</f>
        <v>-</v>
      </c>
      <c r="AB115" s="523"/>
      <c r="AC115" s="525"/>
      <c r="AD115" s="525"/>
      <c r="AE115" s="573"/>
      <c r="AF115" s="64"/>
      <c r="AG115" s="574"/>
      <c r="AH115" s="523"/>
      <c r="AI115" s="575" t="str">
        <f>IFERROR(VLOOKUP(Camp_List[[#This Row],[Responsible Agency]],Organization_t[],3,0),"")</f>
        <v/>
      </c>
      <c r="AJ115" s="530">
        <f>IF((SUMIFS(Data_Shelter_t[Coverage],Data_Shelter_t[Pcode],Camp_List[[#This Row],[P_Code]]))&gt;1,1,SUMIFS(Data_Shelter_t[Coverage],Data_Shelter_t[Pcode],Camp_List[[#This Row],[P_Code]]))</f>
        <v>0</v>
      </c>
    </row>
    <row r="116" spans="1:36" ht="15" customHeight="1" x14ac:dyDescent="0.25">
      <c r="A116" s="64"/>
      <c r="B116" s="64"/>
      <c r="C116" s="64"/>
      <c r="D116" s="576"/>
      <c r="E116" s="64"/>
      <c r="F116" s="578"/>
      <c r="G116" s="64"/>
      <c r="H116" s="64"/>
      <c r="I116" s="64"/>
      <c r="J116" s="64"/>
      <c r="K116" s="452"/>
      <c r="L116" s="316"/>
      <c r="M116" s="64"/>
      <c r="N116" s="64"/>
      <c r="O116" s="64"/>
      <c r="P116" s="64"/>
      <c r="Q116" s="252"/>
      <c r="R116" s="677"/>
      <c r="S116" s="694"/>
      <c r="T116" s="521"/>
      <c r="U116" s="64"/>
      <c r="V116" s="572"/>
      <c r="W116" s="573"/>
      <c r="X116" s="64"/>
      <c r="Y116" s="64"/>
      <c r="Z116" s="64"/>
      <c r="AA116" s="523" t="str">
        <f>CONCATENATE(Camp_List[[#This Row],[Ethnicity]],"-",Camp_List[[#This Row],[Religion]])</f>
        <v>-</v>
      </c>
      <c r="AB116" s="523"/>
      <c r="AC116" s="525"/>
      <c r="AD116" s="525"/>
      <c r="AE116" s="573"/>
      <c r="AF116" s="64"/>
      <c r="AG116" s="574"/>
      <c r="AH116" s="523"/>
      <c r="AI116" s="575" t="str">
        <f>IFERROR(VLOOKUP(Camp_List[[#This Row],[Responsible Agency]],Organization_t[],3,0),"")</f>
        <v/>
      </c>
      <c r="AJ116" s="530">
        <f>IF((SUMIFS(Data_Shelter_t[Coverage],Data_Shelter_t[Pcode],Camp_List[[#This Row],[P_Code]]))&gt;1,1,SUMIFS(Data_Shelter_t[Coverage],Data_Shelter_t[Pcode],Camp_List[[#This Row],[P_Code]]))</f>
        <v>0</v>
      </c>
    </row>
    <row r="117" spans="1:36" ht="15" customHeight="1" x14ac:dyDescent="0.25">
      <c r="A117" s="64"/>
      <c r="B117" s="64"/>
      <c r="C117" s="64"/>
      <c r="D117" s="576"/>
      <c r="E117" s="64"/>
      <c r="F117" s="578"/>
      <c r="G117" s="64"/>
      <c r="H117" s="64"/>
      <c r="I117" s="64"/>
      <c r="J117" s="64"/>
      <c r="K117" s="452"/>
      <c r="L117" s="316"/>
      <c r="M117" s="64"/>
      <c r="N117" s="64"/>
      <c r="O117" s="64"/>
      <c r="P117" s="64"/>
      <c r="Q117" s="252"/>
      <c r="R117" s="677"/>
      <c r="S117" s="694"/>
      <c r="T117" s="521"/>
      <c r="U117" s="64"/>
      <c r="V117" s="521"/>
      <c r="W117" s="573"/>
      <c r="X117" s="64"/>
      <c r="Y117" s="64"/>
      <c r="Z117" s="64"/>
      <c r="AA117" s="523" t="str">
        <f>CONCATENATE(Camp_List[[#This Row],[Ethnicity]],"-",Camp_List[[#This Row],[Religion]])</f>
        <v>-</v>
      </c>
      <c r="AB117" s="523"/>
      <c r="AC117" s="525"/>
      <c r="AD117" s="525"/>
      <c r="AE117" s="573"/>
      <c r="AF117" s="64"/>
      <c r="AG117" s="574"/>
      <c r="AH117" s="523"/>
      <c r="AI117" s="575" t="str">
        <f>IFERROR(VLOOKUP(Camp_List[[#This Row],[Responsible Agency]],Organization_t[],3,0),"")</f>
        <v/>
      </c>
      <c r="AJ117" s="530">
        <f>IF((SUMIFS(Data_Shelter_t[Coverage],Data_Shelter_t[Pcode],Camp_List[[#This Row],[P_Code]]))&gt;1,1,SUMIFS(Data_Shelter_t[Coverage],Data_Shelter_t[Pcode],Camp_List[[#This Row],[P_Code]]))</f>
        <v>0</v>
      </c>
    </row>
    <row r="118" spans="1:36" ht="15" customHeight="1" x14ac:dyDescent="0.25">
      <c r="A118" s="64"/>
      <c r="B118" s="64"/>
      <c r="C118" s="64"/>
      <c r="D118" s="576"/>
      <c r="E118" s="64"/>
      <c r="F118" s="578"/>
      <c r="G118" s="64"/>
      <c r="H118" s="64"/>
      <c r="I118" s="64"/>
      <c r="J118" s="64"/>
      <c r="K118" s="452"/>
      <c r="L118" s="316"/>
      <c r="M118" s="64"/>
      <c r="N118" s="64"/>
      <c r="O118" s="64"/>
      <c r="P118" s="64"/>
      <c r="Q118" s="252"/>
      <c r="R118" s="677"/>
      <c r="S118" s="694"/>
      <c r="T118" s="521"/>
      <c r="U118" s="64"/>
      <c r="V118" s="521"/>
      <c r="W118" s="573"/>
      <c r="X118" s="64"/>
      <c r="Y118" s="64"/>
      <c r="Z118" s="64"/>
      <c r="AA118" s="523" t="str">
        <f>CONCATENATE(Camp_List[[#This Row],[Ethnicity]],"-",Camp_List[[#This Row],[Religion]])</f>
        <v>-</v>
      </c>
      <c r="AB118" s="523"/>
      <c r="AC118" s="525"/>
      <c r="AD118" s="525"/>
      <c r="AE118" s="573"/>
      <c r="AF118" s="64"/>
      <c r="AG118" s="574"/>
      <c r="AH118" s="523"/>
      <c r="AI118" s="575" t="str">
        <f>IFERROR(VLOOKUP(Camp_List[[#This Row],[Responsible Agency]],Organization_t[],3,0),"")</f>
        <v/>
      </c>
      <c r="AJ118" s="530">
        <f>IF((SUMIFS(Data_Shelter_t[Coverage],Data_Shelter_t[Pcode],Camp_List[[#This Row],[P_Code]]))&gt;1,1,SUMIFS(Data_Shelter_t[Coverage],Data_Shelter_t[Pcode],Camp_List[[#This Row],[P_Code]]))</f>
        <v>0</v>
      </c>
    </row>
    <row r="119" spans="1:36" ht="15" customHeight="1" x14ac:dyDescent="0.25">
      <c r="A119" s="64"/>
      <c r="B119" s="64"/>
      <c r="C119" s="64"/>
      <c r="D119" s="576"/>
      <c r="E119" s="64"/>
      <c r="F119" s="578"/>
      <c r="G119" s="64"/>
      <c r="H119" s="64"/>
      <c r="I119" s="64"/>
      <c r="J119" s="64"/>
      <c r="K119" s="452"/>
      <c r="L119" s="316"/>
      <c r="M119" s="64"/>
      <c r="N119" s="64"/>
      <c r="O119" s="64"/>
      <c r="P119" s="64"/>
      <c r="Q119" s="252"/>
      <c r="R119" s="677"/>
      <c r="S119" s="694"/>
      <c r="T119" s="521"/>
      <c r="U119" s="64"/>
      <c r="V119" s="521"/>
      <c r="W119" s="573"/>
      <c r="X119" s="64"/>
      <c r="Y119" s="64"/>
      <c r="Z119" s="64"/>
      <c r="AA119" s="523" t="str">
        <f>CONCATENATE(Camp_List[[#This Row],[Ethnicity]],"-",Camp_List[[#This Row],[Religion]])</f>
        <v>-</v>
      </c>
      <c r="AB119" s="523"/>
      <c r="AC119" s="525"/>
      <c r="AD119" s="525"/>
      <c r="AE119" s="573"/>
      <c r="AF119" s="64"/>
      <c r="AG119" s="574"/>
      <c r="AH119" s="523"/>
      <c r="AI119" s="575" t="str">
        <f>IFERROR(VLOOKUP(Camp_List[[#This Row],[Responsible Agency]],Organization_t[],3,0),"")</f>
        <v/>
      </c>
      <c r="AJ119" s="530">
        <f>IF((SUMIFS(Data_Shelter_t[Coverage],Data_Shelter_t[Pcode],Camp_List[[#This Row],[P_Code]]))&gt;1,1,SUMIFS(Data_Shelter_t[Coverage],Data_Shelter_t[Pcode],Camp_List[[#This Row],[P_Code]]))</f>
        <v>0</v>
      </c>
    </row>
    <row r="120" spans="1:36" ht="15" customHeight="1" x14ac:dyDescent="0.25">
      <c r="A120" s="64"/>
      <c r="B120" s="64"/>
      <c r="C120" s="64"/>
      <c r="D120" s="577"/>
      <c r="E120" s="64"/>
      <c r="F120" s="578"/>
      <c r="G120" s="64"/>
      <c r="H120" s="64"/>
      <c r="I120" s="64"/>
      <c r="J120" s="64"/>
      <c r="K120" s="452"/>
      <c r="L120" s="316"/>
      <c r="M120" s="64"/>
      <c r="N120" s="64"/>
      <c r="O120" s="64"/>
      <c r="P120" s="64"/>
      <c r="Q120" s="252"/>
      <c r="R120" s="677"/>
      <c r="S120" s="694"/>
      <c r="T120" s="521"/>
      <c r="U120" s="64"/>
      <c r="V120" s="521"/>
      <c r="W120" s="573"/>
      <c r="X120" s="64"/>
      <c r="Y120" s="64"/>
      <c r="Z120" s="64"/>
      <c r="AA120" s="523" t="str">
        <f>CONCATENATE(Camp_List[[#This Row],[Ethnicity]],"-",Camp_List[[#This Row],[Religion]])</f>
        <v>-</v>
      </c>
      <c r="AB120" s="523"/>
      <c r="AC120" s="525"/>
      <c r="AD120" s="525"/>
      <c r="AE120" s="573"/>
      <c r="AF120" s="64"/>
      <c r="AG120" s="574"/>
      <c r="AH120" s="523"/>
      <c r="AI120" s="575" t="str">
        <f>IFERROR(VLOOKUP(Camp_List[[#This Row],[Responsible Agency]],Organization_t[],3,0),"")</f>
        <v/>
      </c>
      <c r="AJ120" s="530">
        <f>IF((SUMIFS(Data_Shelter_t[Coverage],Data_Shelter_t[Pcode],Camp_List[[#This Row],[P_Code]]))&gt;1,1,SUMIFS(Data_Shelter_t[Coverage],Data_Shelter_t[Pcode],Camp_List[[#This Row],[P_Code]]))</f>
        <v>0</v>
      </c>
    </row>
    <row r="121" spans="1:36" ht="15" customHeight="1" x14ac:dyDescent="0.25">
      <c r="A121" s="64"/>
      <c r="B121" s="64"/>
      <c r="C121" s="64"/>
      <c r="D121" s="576"/>
      <c r="E121" s="64"/>
      <c r="F121" s="578"/>
      <c r="G121" s="64"/>
      <c r="H121" s="64"/>
      <c r="I121" s="64"/>
      <c r="J121" s="64"/>
      <c r="K121" s="452"/>
      <c r="L121" s="316"/>
      <c r="M121" s="64"/>
      <c r="N121" s="64"/>
      <c r="O121" s="64"/>
      <c r="P121" s="64"/>
      <c r="Q121" s="252"/>
      <c r="R121" s="677"/>
      <c r="S121" s="694"/>
      <c r="T121" s="521"/>
      <c r="U121" s="64"/>
      <c r="V121" s="521"/>
      <c r="W121" s="573"/>
      <c r="X121" s="64"/>
      <c r="Y121" s="64"/>
      <c r="Z121" s="64"/>
      <c r="AA121" s="523" t="str">
        <f>CONCATENATE(Camp_List[[#This Row],[Ethnicity]],"-",Camp_List[[#This Row],[Religion]])</f>
        <v>-</v>
      </c>
      <c r="AB121" s="523"/>
      <c r="AC121" s="525"/>
      <c r="AD121" s="525"/>
      <c r="AE121" s="573"/>
      <c r="AF121" s="64"/>
      <c r="AG121" s="574"/>
      <c r="AH121" s="523"/>
      <c r="AI121" s="575" t="str">
        <f>IFERROR(VLOOKUP(Camp_List[[#This Row],[Responsible Agency]],Organization_t[],3,0),"")</f>
        <v/>
      </c>
      <c r="AJ121" s="530">
        <f>IF((SUMIFS(Data_Shelter_t[Coverage],Data_Shelter_t[Pcode],Camp_List[[#This Row],[P_Code]]))&gt;1,1,SUMIFS(Data_Shelter_t[Coverage],Data_Shelter_t[Pcode],Camp_List[[#This Row],[P_Code]]))</f>
        <v>0</v>
      </c>
    </row>
    <row r="122" spans="1:36" ht="15" customHeight="1" x14ac:dyDescent="0.25">
      <c r="A122" s="64"/>
      <c r="B122" s="64"/>
      <c r="C122" s="64"/>
      <c r="D122" s="576"/>
      <c r="E122" s="64"/>
      <c r="F122" s="578"/>
      <c r="G122" s="64"/>
      <c r="H122" s="64"/>
      <c r="I122" s="64"/>
      <c r="J122" s="64"/>
      <c r="K122" s="452"/>
      <c r="L122" s="316"/>
      <c r="M122" s="64"/>
      <c r="N122" s="64"/>
      <c r="O122" s="64"/>
      <c r="P122" s="64"/>
      <c r="Q122" s="252"/>
      <c r="R122" s="677"/>
      <c r="S122" s="694"/>
      <c r="T122" s="521"/>
      <c r="U122" s="64"/>
      <c r="V122" s="521"/>
      <c r="W122" s="573"/>
      <c r="X122" s="64"/>
      <c r="Y122" s="64"/>
      <c r="Z122" s="64"/>
      <c r="AA122" s="523" t="str">
        <f>CONCATENATE(Camp_List[[#This Row],[Ethnicity]],"-",Camp_List[[#This Row],[Religion]])</f>
        <v>-</v>
      </c>
      <c r="AB122" s="523"/>
      <c r="AC122" s="525"/>
      <c r="AD122" s="525"/>
      <c r="AE122" s="573"/>
      <c r="AF122" s="64"/>
      <c r="AG122" s="574"/>
      <c r="AH122" s="523"/>
      <c r="AI122" s="575" t="str">
        <f>IFERROR(VLOOKUP(Camp_List[[#This Row],[Responsible Agency]],Organization_t[],3,0),"")</f>
        <v/>
      </c>
      <c r="AJ122" s="530">
        <f>IF((SUMIFS(Data_Shelter_t[Coverage],Data_Shelter_t[Pcode],Camp_List[[#This Row],[P_Code]]))&gt;1,1,SUMIFS(Data_Shelter_t[Coverage],Data_Shelter_t[Pcode],Camp_List[[#This Row],[P_Code]]))</f>
        <v>0</v>
      </c>
    </row>
    <row r="123" spans="1:36" ht="15" customHeight="1" x14ac:dyDescent="0.25">
      <c r="A123" s="64"/>
      <c r="B123" s="64"/>
      <c r="C123" s="64"/>
      <c r="D123" s="577"/>
      <c r="E123" s="64"/>
      <c r="F123" s="578"/>
      <c r="G123" s="64"/>
      <c r="H123" s="64"/>
      <c r="I123" s="64"/>
      <c r="J123" s="64"/>
      <c r="K123" s="453"/>
      <c r="L123" s="316"/>
      <c r="M123" s="64"/>
      <c r="N123" s="64"/>
      <c r="O123" s="64"/>
      <c r="P123" s="64"/>
      <c r="Q123" s="252"/>
      <c r="R123" s="677"/>
      <c r="S123" s="694"/>
      <c r="T123" s="521"/>
      <c r="U123" s="64"/>
      <c r="V123" s="521"/>
      <c r="W123" s="573"/>
      <c r="X123" s="64"/>
      <c r="Y123" s="64"/>
      <c r="Z123" s="64"/>
      <c r="AA123" s="523" t="str">
        <f>CONCATENATE(Camp_List[[#This Row],[Ethnicity]],"-",Camp_List[[#This Row],[Religion]])</f>
        <v>-</v>
      </c>
      <c r="AB123" s="523"/>
      <c r="AC123" s="525"/>
      <c r="AD123" s="525"/>
      <c r="AE123" s="573"/>
      <c r="AF123" s="64"/>
      <c r="AG123" s="574"/>
      <c r="AH123" s="523"/>
      <c r="AI123" s="575" t="str">
        <f>IFERROR(VLOOKUP(Camp_List[[#This Row],[Responsible Agency]],Organization_t[],3,0),"")</f>
        <v/>
      </c>
      <c r="AJ123" s="530">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52"/>
      <c r="L124" s="316"/>
      <c r="M124" s="64"/>
      <c r="N124" s="64"/>
      <c r="O124" s="64"/>
      <c r="P124" s="64"/>
      <c r="Q124" s="252"/>
      <c r="R124" s="677"/>
      <c r="S124" s="694"/>
      <c r="T124" s="521"/>
      <c r="U124" s="64"/>
      <c r="V124" s="521"/>
      <c r="W124" s="573"/>
      <c r="X124" s="64"/>
      <c r="Y124" s="64"/>
      <c r="Z124" s="64"/>
      <c r="AA124" s="523" t="str">
        <f>CONCATENATE(Camp_List[[#This Row],[Ethnicity]],"-",Camp_List[[#This Row],[Religion]])</f>
        <v>-</v>
      </c>
      <c r="AB124" s="523"/>
      <c r="AC124" s="525"/>
      <c r="AD124" s="525"/>
      <c r="AE124" s="573"/>
      <c r="AF124" s="64"/>
      <c r="AG124" s="574"/>
      <c r="AH124" s="523"/>
      <c r="AI124" s="575" t="str">
        <f>IFERROR(VLOOKUP(Camp_List[[#This Row],[Responsible Agency]],Organization_t[],3,0),"")</f>
        <v/>
      </c>
      <c r="AJ124" s="530">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52"/>
      <c r="L125" s="316"/>
      <c r="M125" s="64"/>
      <c r="N125" s="64"/>
      <c r="O125" s="64"/>
      <c r="P125" s="64"/>
      <c r="Q125" s="252"/>
      <c r="R125" s="677"/>
      <c r="S125" s="694"/>
      <c r="T125" s="521"/>
      <c r="U125" s="64"/>
      <c r="V125" s="521"/>
      <c r="W125" s="573"/>
      <c r="X125" s="64"/>
      <c r="Y125" s="64"/>
      <c r="Z125" s="64"/>
      <c r="AA125" s="523" t="str">
        <f>CONCATENATE(Camp_List[[#This Row],[Ethnicity]],"-",Camp_List[[#This Row],[Religion]])</f>
        <v>-</v>
      </c>
      <c r="AB125" s="523"/>
      <c r="AC125" s="525"/>
      <c r="AD125" s="525"/>
      <c r="AE125" s="573"/>
      <c r="AF125" s="64"/>
      <c r="AG125" s="574"/>
      <c r="AH125" s="523"/>
      <c r="AI125" s="575" t="str">
        <f>IFERROR(VLOOKUP(Camp_List[[#This Row],[Responsible Agency]],Organization_t[],3,0),"")</f>
        <v/>
      </c>
      <c r="AJ125" s="530">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452"/>
      <c r="L126" s="316"/>
      <c r="M126" s="64"/>
      <c r="N126" s="64"/>
      <c r="O126" s="64"/>
      <c r="P126" s="64"/>
      <c r="Q126" s="252"/>
      <c r="R126" s="677"/>
      <c r="S126" s="694"/>
      <c r="T126" s="521"/>
      <c r="U126" s="64"/>
      <c r="V126" s="521"/>
      <c r="W126" s="573"/>
      <c r="X126" s="64"/>
      <c r="Y126" s="64"/>
      <c r="Z126" s="64"/>
      <c r="AA126" s="523" t="str">
        <f>CONCATENATE(Camp_List[[#This Row],[Ethnicity]],"-",Camp_List[[#This Row],[Religion]])</f>
        <v>-</v>
      </c>
      <c r="AB126" s="523"/>
      <c r="AC126" s="525"/>
      <c r="AD126" s="525"/>
      <c r="AE126" s="573"/>
      <c r="AF126" s="64"/>
      <c r="AG126" s="574"/>
      <c r="AH126" s="523"/>
      <c r="AI126" s="575" t="str">
        <f>IFERROR(VLOOKUP(Camp_List[[#This Row],[Responsible Agency]],Organization_t[],3,0),"")</f>
        <v/>
      </c>
      <c r="AJ126" s="530">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677"/>
      <c r="S127" s="694"/>
      <c r="T127" s="521"/>
      <c r="U127" s="64"/>
      <c r="V127" s="521"/>
      <c r="W127" s="573"/>
      <c r="X127" s="64"/>
      <c r="Y127" s="64"/>
      <c r="Z127" s="64"/>
      <c r="AA127" s="523" t="str">
        <f>CONCATENATE(Camp_List[[#This Row],[Ethnicity]],"-",Camp_List[[#This Row],[Religion]])</f>
        <v>-</v>
      </c>
      <c r="AB127" s="523"/>
      <c r="AC127" s="525"/>
      <c r="AD127" s="525"/>
      <c r="AE127" s="573"/>
      <c r="AF127" s="64"/>
      <c r="AG127" s="574"/>
      <c r="AH127" s="523"/>
      <c r="AI127" s="575" t="str">
        <f>IFERROR(VLOOKUP(Camp_List[[#This Row],[Responsible Agency]],Organization_t[],3,0),"")</f>
        <v/>
      </c>
      <c r="AJ127" s="530">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677"/>
      <c r="S128" s="694"/>
      <c r="T128" s="521"/>
      <c r="U128" s="64"/>
      <c r="V128" s="521"/>
      <c r="W128" s="573"/>
      <c r="X128" s="64"/>
      <c r="Y128" s="64"/>
      <c r="Z128" s="64"/>
      <c r="AA128" s="523" t="str">
        <f>CONCATENATE(Camp_List[[#This Row],[Ethnicity]],"-",Camp_List[[#This Row],[Religion]])</f>
        <v>-</v>
      </c>
      <c r="AB128" s="523"/>
      <c r="AC128" s="525"/>
      <c r="AD128" s="525"/>
      <c r="AE128" s="573"/>
      <c r="AF128" s="64"/>
      <c r="AG128" s="574"/>
      <c r="AH128" s="523"/>
      <c r="AI128" s="575" t="str">
        <f>IFERROR(VLOOKUP(Camp_List[[#This Row],[Responsible Agency]],Organization_t[],3,0),"")</f>
        <v/>
      </c>
      <c r="AJ128" s="530">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677"/>
      <c r="S129" s="694"/>
      <c r="T129" s="521"/>
      <c r="U129" s="64"/>
      <c r="V129" s="521"/>
      <c r="W129" s="573"/>
      <c r="X129" s="64"/>
      <c r="Y129" s="64"/>
      <c r="Z129" s="64"/>
      <c r="AA129" s="523" t="str">
        <f>CONCATENATE(Camp_List[[#This Row],[Ethnicity]],"-",Camp_List[[#This Row],[Religion]])</f>
        <v>-</v>
      </c>
      <c r="AB129" s="523"/>
      <c r="AC129" s="525"/>
      <c r="AD129" s="525"/>
      <c r="AE129" s="573"/>
      <c r="AF129" s="64"/>
      <c r="AG129" s="574"/>
      <c r="AH129" s="523"/>
      <c r="AI129" s="575" t="str">
        <f>IFERROR(VLOOKUP(Camp_List[[#This Row],[Responsible Agency]],Organization_t[],3,0),"")</f>
        <v/>
      </c>
      <c r="AJ129" s="530">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677"/>
      <c r="S130" s="694"/>
      <c r="T130" s="521"/>
      <c r="U130" s="64"/>
      <c r="V130" s="521"/>
      <c r="W130" s="573"/>
      <c r="X130" s="64"/>
      <c r="Y130" s="64"/>
      <c r="Z130" s="64"/>
      <c r="AA130" s="523" t="str">
        <f>CONCATENATE(Camp_List[[#This Row],[Ethnicity]],"-",Camp_List[[#This Row],[Religion]])</f>
        <v>-</v>
      </c>
      <c r="AB130" s="523"/>
      <c r="AC130" s="525"/>
      <c r="AD130" s="525"/>
      <c r="AE130" s="573"/>
      <c r="AF130" s="64"/>
      <c r="AG130" s="574"/>
      <c r="AH130" s="523"/>
      <c r="AI130" s="575" t="str">
        <f>IFERROR(VLOOKUP(Camp_List[[#This Row],[Responsible Agency]],Organization_t[],3,0),"")</f>
        <v/>
      </c>
      <c r="AJ130" s="530">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316"/>
      <c r="M131" s="64"/>
      <c r="N131" s="64"/>
      <c r="O131" s="64"/>
      <c r="P131" s="64"/>
      <c r="Q131" s="252"/>
      <c r="R131" s="677"/>
      <c r="S131" s="694"/>
      <c r="T131" s="521"/>
      <c r="U131" s="64"/>
      <c r="V131" s="521"/>
      <c r="W131" s="573"/>
      <c r="X131" s="64"/>
      <c r="Y131" s="64"/>
      <c r="Z131" s="64"/>
      <c r="AA131" s="523" t="str">
        <f>CONCATENATE(Camp_List[[#This Row],[Ethnicity]],"-",Camp_List[[#This Row],[Religion]])</f>
        <v>-</v>
      </c>
      <c r="AB131" s="523"/>
      <c r="AC131" s="525"/>
      <c r="AD131" s="525"/>
      <c r="AE131" s="573"/>
      <c r="AF131" s="64"/>
      <c r="AG131" s="574"/>
      <c r="AH131" s="523"/>
      <c r="AI131" s="575" t="str">
        <f>IFERROR(VLOOKUP(Camp_List[[#This Row],[Responsible Agency]],Organization_t[],3,0),"")</f>
        <v/>
      </c>
      <c r="AJ131" s="530">
        <f>IF((SUMIFS(Data_Shelter_t[Coverage],Data_Shelter_t[Pcode],Camp_List[[#This Row],[P_Code]]))&gt;1,1,SUMIFS(Data_Shelter_t[Coverage],Data_Shelter_t[Pcode],Camp_List[[#This Row],[P_Code]]))</f>
        <v>0</v>
      </c>
    </row>
    <row r="132" spans="1:36" ht="15" customHeight="1" x14ac:dyDescent="0.25">
      <c r="A132" s="64"/>
      <c r="B132" s="64"/>
      <c r="C132" s="64"/>
      <c r="D132" s="64"/>
      <c r="E132" s="64"/>
      <c r="F132" s="64"/>
      <c r="G132" s="64"/>
      <c r="H132" s="64"/>
      <c r="I132" s="64"/>
      <c r="J132" s="64"/>
      <c r="K132" s="64"/>
      <c r="L132" s="64"/>
      <c r="M132" s="64"/>
      <c r="N132" s="64"/>
      <c r="O132" s="64"/>
      <c r="P132" s="64"/>
      <c r="Q132" s="252"/>
      <c r="R132" s="677"/>
      <c r="S132" s="694"/>
      <c r="T132" s="521"/>
      <c r="U132" s="64"/>
      <c r="V132" s="521"/>
      <c r="W132" s="573"/>
      <c r="X132" s="64"/>
      <c r="Y132" s="64"/>
      <c r="Z132" s="64"/>
      <c r="AA132" s="523" t="str">
        <f>CONCATENATE(Camp_List[[#This Row],[Ethnicity]],"-",Camp_List[[#This Row],[Religion]])</f>
        <v>-</v>
      </c>
      <c r="AB132" s="523"/>
      <c r="AC132" s="525"/>
      <c r="AD132" s="525"/>
      <c r="AE132" s="573"/>
      <c r="AF132" s="64"/>
      <c r="AG132" s="786"/>
      <c r="AH132" s="523"/>
      <c r="AI132" s="575" t="str">
        <f>IFERROR(VLOOKUP(Camp_List[[#This Row],[Responsible Agency]],Organization_t[],3,0),"")</f>
        <v/>
      </c>
      <c r="AJ132" s="530">
        <f>IF((SUMIFS(Data_Shelter_t[Coverage],Data_Shelter_t[Pcode],Camp_List[[#This Row],[P_Code]]))&gt;1,1,SUMIFS(Data_Shelter_t[Coverage],Data_Shelter_t[Pcode],Camp_List[[#This Row],[P_Code]]))</f>
        <v>0</v>
      </c>
    </row>
    <row r="134" spans="1:36" x14ac:dyDescent="0.25">
      <c r="O134" s="869"/>
      <c r="P134" s="870"/>
      <c r="Q134" s="870"/>
    </row>
    <row r="135" spans="1:36" x14ac:dyDescent="0.25">
      <c r="O135" s="869"/>
      <c r="P135" s="871"/>
      <c r="Q135" s="872"/>
    </row>
    <row r="136" spans="1:36" x14ac:dyDescent="0.25">
      <c r="O136" s="869"/>
      <c r="P136" s="871"/>
      <c r="Q136" s="870"/>
    </row>
    <row r="137" spans="1:36" x14ac:dyDescent="0.25">
      <c r="O137" s="869"/>
      <c r="P137" s="871"/>
      <c r="Q137" s="870"/>
    </row>
    <row r="138" spans="1:36" x14ac:dyDescent="0.25">
      <c r="O138" s="869"/>
      <c r="P138" s="871"/>
      <c r="Q138" s="870"/>
    </row>
    <row r="139" spans="1:36" x14ac:dyDescent="0.25">
      <c r="O139" s="869"/>
      <c r="P139" s="873"/>
      <c r="Q139" s="870"/>
    </row>
    <row r="140" spans="1:36" x14ac:dyDescent="0.25">
      <c r="O140" s="869"/>
      <c r="P140" s="871"/>
      <c r="Q140" s="870"/>
    </row>
    <row r="141" spans="1:36" x14ac:dyDescent="0.25">
      <c r="O141" s="869"/>
      <c r="P141" s="871"/>
      <c r="Q141" s="870"/>
    </row>
    <row r="142" spans="1:36" x14ac:dyDescent="0.25">
      <c r="O142" s="127"/>
      <c r="P142" s="871"/>
      <c r="Q142" s="872"/>
    </row>
    <row r="143" spans="1:36" x14ac:dyDescent="0.25">
      <c r="O143" s="127"/>
      <c r="P143" s="871"/>
      <c r="Q143" s="872"/>
    </row>
  </sheetData>
  <sortState ref="A56:AJ88">
    <sortCondition ref="G1:G1048576"/>
    <sortCondition ref="L1:L1048576"/>
  </sortState>
  <mergeCells count="1">
    <mergeCell ref="A3:B3"/>
  </mergeCells>
  <conditionalFormatting sqref="A47:A61 A5:A42">
    <cfRule type="cellIs" dxfId="1215" priority="10" operator="equal">
      <formula>"close"</formula>
    </cfRule>
  </conditionalFormatting>
  <conditionalFormatting sqref="A62:A111">
    <cfRule type="cellIs" dxfId="1214" priority="5" operator="equal">
      <formula>"close"</formula>
    </cfRule>
  </conditionalFormatting>
  <conditionalFormatting sqref="A43:A45">
    <cfRule type="cellIs" dxfId="1213" priority="3" operator="equal">
      <formula>"close"</formula>
    </cfRule>
  </conditionalFormatting>
  <conditionalFormatting sqref="A46">
    <cfRule type="cellIs" dxfId="1212" priority="1" operator="equal">
      <formula>"close"</formula>
    </cfRule>
  </conditionalFormatting>
  <dataValidations count="4">
    <dataValidation type="list" allowBlank="1" showInputMessage="1" showErrorMessage="1" sqref="AD5:AD132">
      <formula1>Organization_Code</formula1>
    </dataValidation>
    <dataValidation type="list" allowBlank="1" showInputMessage="1" showErrorMessage="1" sqref="V5:V132">
      <formula1>Type_of_Accomodation</formula1>
    </dataValidation>
    <dataValidation type="list" allowBlank="1" showInputMessage="1" showErrorMessage="1" sqref="U5:U132">
      <formula1>Type_Population</formula1>
    </dataValidation>
    <dataValidation type="list" errorStyle="warning" showInputMessage="1" showErrorMessage="1" sqref="O134:O143">
      <formula1>OFFSET(TCL_T1,MATCH(N134,TCL_T,0)-1,1,COUNTIF(TCL_T,N134),1)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25" t="s">
        <v>329</v>
      </c>
      <c r="B3" s="420" t="s">
        <v>10</v>
      </c>
      <c r="C3" s="420" t="s">
        <v>489</v>
      </c>
      <c r="D3" s="421" t="s">
        <v>0</v>
      </c>
      <c r="E3" s="421" t="s">
        <v>9</v>
      </c>
      <c r="F3" s="421" t="s">
        <v>8</v>
      </c>
      <c r="G3" s="420" t="s">
        <v>2</v>
      </c>
      <c r="H3" s="420" t="s">
        <v>3</v>
      </c>
      <c r="I3" s="421" t="s">
        <v>601</v>
      </c>
      <c r="J3" s="422" t="s">
        <v>4</v>
      </c>
      <c r="K3" s="422" t="s">
        <v>5</v>
      </c>
      <c r="L3" s="423" t="s">
        <v>320</v>
      </c>
      <c r="M3" s="421" t="s">
        <v>755</v>
      </c>
      <c r="N3" s="421" t="s">
        <v>704</v>
      </c>
      <c r="O3" s="421" t="s">
        <v>22</v>
      </c>
      <c r="P3" s="421" t="s">
        <v>809</v>
      </c>
      <c r="Q3" s="421" t="s">
        <v>602</v>
      </c>
      <c r="R3" s="421" t="s">
        <v>706</v>
      </c>
      <c r="S3" s="424" t="s">
        <v>707</v>
      </c>
      <c r="T3" s="424" t="s">
        <v>711</v>
      </c>
      <c r="U3" s="421" t="s">
        <v>615</v>
      </c>
      <c r="V3" s="421" t="s">
        <v>614</v>
      </c>
      <c r="W3" s="421" t="s">
        <v>323</v>
      </c>
      <c r="X3" s="421" t="s">
        <v>324</v>
      </c>
      <c r="Y3" s="421" t="s">
        <v>333</v>
      </c>
      <c r="Z3" s="421" t="s">
        <v>328</v>
      </c>
      <c r="AA3" s="421" t="s">
        <v>747</v>
      </c>
    </row>
    <row r="4" spans="1:27" x14ac:dyDescent="0.25">
      <c r="A4" s="426" t="s">
        <v>332</v>
      </c>
      <c r="B4" s="438" t="s">
        <v>7</v>
      </c>
      <c r="C4" s="438" t="s">
        <v>17</v>
      </c>
      <c r="D4" s="438" t="s">
        <v>14</v>
      </c>
      <c r="E4" s="438" t="s">
        <v>44</v>
      </c>
      <c r="F4" s="438" t="s">
        <v>130</v>
      </c>
      <c r="G4" s="439">
        <v>93.003204999999994</v>
      </c>
      <c r="H4" s="439">
        <v>20.921424999999999</v>
      </c>
      <c r="I4" s="438"/>
      <c r="J4" s="430">
        <v>24</v>
      </c>
      <c r="K4" s="430">
        <v>140</v>
      </c>
      <c r="L4" s="431">
        <v>6.0869565217391308</v>
      </c>
      <c r="M4" s="432" t="s">
        <v>326</v>
      </c>
      <c r="N4" s="432" t="s">
        <v>705</v>
      </c>
      <c r="O4" s="432" t="s">
        <v>756</v>
      </c>
      <c r="P4" s="433" t="s">
        <v>810</v>
      </c>
      <c r="Q4" s="432"/>
      <c r="R4" s="432" t="s">
        <v>722</v>
      </c>
      <c r="S4" s="432" t="s">
        <v>608</v>
      </c>
      <c r="T4" s="432" t="s">
        <v>723</v>
      </c>
      <c r="U4" s="432" t="s">
        <v>613</v>
      </c>
      <c r="V4" s="432" t="s">
        <v>270</v>
      </c>
      <c r="W4" s="432" t="s">
        <v>462</v>
      </c>
      <c r="X4" s="432" t="s">
        <v>477</v>
      </c>
      <c r="Y4" s="435">
        <v>42415</v>
      </c>
      <c r="Z4" s="432" t="s">
        <v>877</v>
      </c>
      <c r="AA4" s="439" t="s">
        <v>906</v>
      </c>
    </row>
    <row r="5" spans="1:27" x14ac:dyDescent="0.25">
      <c r="A5" s="426" t="s">
        <v>332</v>
      </c>
      <c r="B5" s="438" t="s">
        <v>7</v>
      </c>
      <c r="C5" s="438" t="s">
        <v>17</v>
      </c>
      <c r="D5" s="438" t="s">
        <v>14</v>
      </c>
      <c r="E5" s="438" t="s">
        <v>47</v>
      </c>
      <c r="F5" s="438" t="s">
        <v>133</v>
      </c>
      <c r="G5" s="439">
        <v>93.014349999999993</v>
      </c>
      <c r="H5" s="439">
        <v>20.896740000000001</v>
      </c>
      <c r="I5" s="438"/>
      <c r="J5" s="430">
        <v>14</v>
      </c>
      <c r="K5" s="430">
        <v>84</v>
      </c>
      <c r="L5" s="431">
        <v>6</v>
      </c>
      <c r="M5" s="432" t="s">
        <v>326</v>
      </c>
      <c r="N5" s="432" t="s">
        <v>705</v>
      </c>
      <c r="O5" s="432" t="s">
        <v>756</v>
      </c>
      <c r="P5" s="433" t="s">
        <v>810</v>
      </c>
      <c r="Q5" s="432"/>
      <c r="R5" s="432" t="s">
        <v>722</v>
      </c>
      <c r="S5" s="432" t="s">
        <v>608</v>
      </c>
      <c r="T5" s="432" t="s">
        <v>723</v>
      </c>
      <c r="U5" s="432" t="s">
        <v>613</v>
      </c>
      <c r="V5" s="432" t="s">
        <v>270</v>
      </c>
      <c r="W5" s="432" t="s">
        <v>462</v>
      </c>
      <c r="X5" s="432" t="s">
        <v>477</v>
      </c>
      <c r="Y5" s="435">
        <v>42415</v>
      </c>
      <c r="Z5" s="432" t="s">
        <v>878</v>
      </c>
      <c r="AA5" s="439" t="s">
        <v>906</v>
      </c>
    </row>
    <row r="6" spans="1:27" x14ac:dyDescent="0.25">
      <c r="A6" s="426" t="s">
        <v>332</v>
      </c>
      <c r="B6" s="438" t="s">
        <v>7</v>
      </c>
      <c r="C6" s="438" t="s">
        <v>17</v>
      </c>
      <c r="D6" s="438" t="s">
        <v>14</v>
      </c>
      <c r="E6" s="438" t="s">
        <v>46</v>
      </c>
      <c r="F6" s="438" t="s">
        <v>132</v>
      </c>
      <c r="G6" s="439">
        <v>92.961841000000007</v>
      </c>
      <c r="H6" s="439">
        <v>20.720213000000001</v>
      </c>
      <c r="I6" s="438"/>
      <c r="J6" s="430">
        <v>92</v>
      </c>
      <c r="K6" s="430">
        <v>559</v>
      </c>
      <c r="L6" s="431">
        <v>6.0760869565217392</v>
      </c>
      <c r="M6" s="432" t="s">
        <v>326</v>
      </c>
      <c r="N6" s="432" t="s">
        <v>705</v>
      </c>
      <c r="O6" s="432" t="s">
        <v>756</v>
      </c>
      <c r="P6" s="433" t="s">
        <v>810</v>
      </c>
      <c r="Q6" s="432"/>
      <c r="R6" s="432" t="s">
        <v>722</v>
      </c>
      <c r="S6" s="432" t="s">
        <v>608</v>
      </c>
      <c r="T6" s="432" t="s">
        <v>723</v>
      </c>
      <c r="U6" s="432" t="s">
        <v>613</v>
      </c>
      <c r="V6" s="432" t="s">
        <v>270</v>
      </c>
      <c r="W6" s="432" t="s">
        <v>462</v>
      </c>
      <c r="X6" s="432" t="s">
        <v>860</v>
      </c>
      <c r="Y6" s="435">
        <v>42415</v>
      </c>
      <c r="Z6" s="432" t="s">
        <v>879</v>
      </c>
      <c r="AA6" s="439" t="s">
        <v>906</v>
      </c>
    </row>
    <row r="7" spans="1:27" x14ac:dyDescent="0.25">
      <c r="A7" s="426" t="s">
        <v>606</v>
      </c>
      <c r="B7" s="438" t="s">
        <v>7</v>
      </c>
      <c r="C7" s="438" t="s">
        <v>17</v>
      </c>
      <c r="D7" s="438" t="s">
        <v>14</v>
      </c>
      <c r="E7" s="438" t="s">
        <v>49</v>
      </c>
      <c r="F7" s="438" t="s">
        <v>135</v>
      </c>
      <c r="G7" s="439">
        <v>93.014089999999996</v>
      </c>
      <c r="H7" s="439">
        <v>20.713259999999998</v>
      </c>
      <c r="I7" s="438"/>
      <c r="J7" s="430">
        <v>116</v>
      </c>
      <c r="K7" s="430">
        <v>802</v>
      </c>
      <c r="L7" s="431">
        <v>6.8879310344827589</v>
      </c>
      <c r="M7" s="432" t="s">
        <v>326</v>
      </c>
      <c r="N7" s="432" t="s">
        <v>705</v>
      </c>
      <c r="O7" s="432" t="s">
        <v>756</v>
      </c>
      <c r="P7" s="433" t="s">
        <v>810</v>
      </c>
      <c r="Q7" s="432"/>
      <c r="R7" s="432" t="s">
        <v>722</v>
      </c>
      <c r="S7" s="432" t="s">
        <v>608</v>
      </c>
      <c r="T7" s="432" t="s">
        <v>723</v>
      </c>
      <c r="U7" s="432" t="s">
        <v>613</v>
      </c>
      <c r="V7" s="432" t="s">
        <v>270</v>
      </c>
      <c r="W7" s="432" t="s">
        <v>462</v>
      </c>
      <c r="X7" s="432" t="s">
        <v>860</v>
      </c>
      <c r="Y7" s="435">
        <v>42415</v>
      </c>
      <c r="Z7" s="432" t="s">
        <v>880</v>
      </c>
      <c r="AA7" s="439" t="s">
        <v>906</v>
      </c>
    </row>
    <row r="8" spans="1:27" x14ac:dyDescent="0.25">
      <c r="A8" s="426" t="s">
        <v>332</v>
      </c>
      <c r="B8" s="438" t="s">
        <v>7</v>
      </c>
      <c r="C8" s="438" t="s">
        <v>17</v>
      </c>
      <c r="D8" s="438" t="s">
        <v>14</v>
      </c>
      <c r="E8" s="438" t="s">
        <v>48</v>
      </c>
      <c r="F8" s="438" t="s">
        <v>134</v>
      </c>
      <c r="G8" s="439">
        <v>93.009900000000002</v>
      </c>
      <c r="H8" s="439">
        <v>20.696819999999999</v>
      </c>
      <c r="I8" s="438"/>
      <c r="J8" s="430">
        <v>236</v>
      </c>
      <c r="K8" s="430">
        <v>1524</v>
      </c>
      <c r="L8" s="431">
        <v>6.4576271186440675</v>
      </c>
      <c r="M8" s="432" t="s">
        <v>326</v>
      </c>
      <c r="N8" s="432" t="s">
        <v>705</v>
      </c>
      <c r="O8" s="432" t="s">
        <v>756</v>
      </c>
      <c r="P8" s="433" t="s">
        <v>810</v>
      </c>
      <c r="Q8" s="432"/>
      <c r="R8" s="432" t="s">
        <v>722</v>
      </c>
      <c r="S8" s="432" t="s">
        <v>608</v>
      </c>
      <c r="T8" s="432" t="s">
        <v>723</v>
      </c>
      <c r="U8" s="432" t="s">
        <v>613</v>
      </c>
      <c r="V8" s="432" t="s">
        <v>270</v>
      </c>
      <c r="W8" s="432" t="s">
        <v>462</v>
      </c>
      <c r="X8" s="432" t="s">
        <v>860</v>
      </c>
      <c r="Y8" s="435">
        <v>42415</v>
      </c>
      <c r="Z8" s="432" t="s">
        <v>881</v>
      </c>
      <c r="AA8" s="439" t="s">
        <v>906</v>
      </c>
    </row>
    <row r="9" spans="1:27" x14ac:dyDescent="0.25">
      <c r="A9" s="426" t="s">
        <v>332</v>
      </c>
      <c r="B9" s="438" t="s">
        <v>7</v>
      </c>
      <c r="C9" s="438" t="s">
        <v>17</v>
      </c>
      <c r="D9" s="438" t="s">
        <v>14</v>
      </c>
      <c r="E9" s="438" t="s">
        <v>52</v>
      </c>
      <c r="F9" s="438" t="s">
        <v>138</v>
      </c>
      <c r="G9" s="439">
        <v>93.006497999999993</v>
      </c>
      <c r="H9" s="439">
        <v>20.886997999999998</v>
      </c>
      <c r="I9" s="438"/>
      <c r="J9" s="430">
        <v>97</v>
      </c>
      <c r="K9" s="430">
        <v>557</v>
      </c>
      <c r="L9" s="431">
        <v>5.9381443298969074</v>
      </c>
      <c r="M9" s="432" t="s">
        <v>326</v>
      </c>
      <c r="N9" s="432" t="s">
        <v>705</v>
      </c>
      <c r="O9" s="432" t="s">
        <v>21</v>
      </c>
      <c r="P9" s="433" t="s">
        <v>810</v>
      </c>
      <c r="Q9" s="432"/>
      <c r="R9" s="432" t="s">
        <v>722</v>
      </c>
      <c r="S9" s="432" t="s">
        <v>608</v>
      </c>
      <c r="T9" s="432" t="s">
        <v>723</v>
      </c>
      <c r="U9" s="432" t="s">
        <v>613</v>
      </c>
      <c r="V9" s="432" t="s">
        <v>270</v>
      </c>
      <c r="W9" s="432" t="s">
        <v>462</v>
      </c>
      <c r="X9" s="432" t="s">
        <v>860</v>
      </c>
      <c r="Y9" s="435">
        <v>42415</v>
      </c>
      <c r="Z9" s="432" t="s">
        <v>882</v>
      </c>
      <c r="AA9" s="439" t="s">
        <v>906</v>
      </c>
    </row>
    <row r="10" spans="1:27" x14ac:dyDescent="0.25">
      <c r="A10" s="426" t="s">
        <v>332</v>
      </c>
      <c r="B10" s="438" t="s">
        <v>7</v>
      </c>
      <c r="C10" s="438" t="s">
        <v>17</v>
      </c>
      <c r="D10" s="438" t="s">
        <v>14</v>
      </c>
      <c r="E10" s="438" t="s">
        <v>42</v>
      </c>
      <c r="F10" s="438" t="s">
        <v>128</v>
      </c>
      <c r="G10" s="439">
        <v>92.982675999999998</v>
      </c>
      <c r="H10" s="439">
        <v>20.805734000000001</v>
      </c>
      <c r="I10" s="438"/>
      <c r="J10" s="430">
        <v>18</v>
      </c>
      <c r="K10" s="430">
        <v>157</v>
      </c>
      <c r="L10" s="431">
        <v>8.7222222222222214</v>
      </c>
      <c r="M10" s="432" t="s">
        <v>326</v>
      </c>
      <c r="N10" s="432" t="s">
        <v>705</v>
      </c>
      <c r="O10" s="432" t="s">
        <v>756</v>
      </c>
      <c r="P10" s="433" t="s">
        <v>810</v>
      </c>
      <c r="Q10" s="432"/>
      <c r="R10" s="432" t="s">
        <v>722</v>
      </c>
      <c r="S10" s="432" t="s">
        <v>608</v>
      </c>
      <c r="T10" s="432" t="s">
        <v>723</v>
      </c>
      <c r="U10" s="432" t="s">
        <v>613</v>
      </c>
      <c r="V10" s="432" t="s">
        <v>270</v>
      </c>
      <c r="W10" s="432" t="s">
        <v>462</v>
      </c>
      <c r="X10" s="432" t="s">
        <v>477</v>
      </c>
      <c r="Y10" s="435">
        <v>42415</v>
      </c>
      <c r="Z10" s="432" t="s">
        <v>883</v>
      </c>
      <c r="AA10" s="439" t="s">
        <v>906</v>
      </c>
    </row>
    <row r="11" spans="1:27" x14ac:dyDescent="0.25">
      <c r="A11" s="426" t="s">
        <v>332</v>
      </c>
      <c r="B11" s="438" t="s">
        <v>7</v>
      </c>
      <c r="C11" s="438" t="s">
        <v>17</v>
      </c>
      <c r="D11" s="438" t="s">
        <v>14</v>
      </c>
      <c r="E11" s="438" t="s">
        <v>51</v>
      </c>
      <c r="F11" s="438" t="s">
        <v>137</v>
      </c>
      <c r="G11" s="439">
        <v>92.987399999999994</v>
      </c>
      <c r="H11" s="439">
        <v>20.78332</v>
      </c>
      <c r="I11" s="438"/>
      <c r="J11" s="430">
        <v>144</v>
      </c>
      <c r="K11" s="430">
        <v>1006</v>
      </c>
      <c r="L11" s="431">
        <v>7.1388888888888893</v>
      </c>
      <c r="M11" s="432" t="s">
        <v>326</v>
      </c>
      <c r="N11" s="432" t="s">
        <v>705</v>
      </c>
      <c r="O11" s="432" t="s">
        <v>756</v>
      </c>
      <c r="P11" s="433" t="s">
        <v>810</v>
      </c>
      <c r="Q11" s="432"/>
      <c r="R11" s="432" t="s">
        <v>722</v>
      </c>
      <c r="S11" s="432" t="s">
        <v>608</v>
      </c>
      <c r="T11" s="432" t="s">
        <v>723</v>
      </c>
      <c r="U11" s="432" t="s">
        <v>613</v>
      </c>
      <c r="V11" s="432" t="s">
        <v>270</v>
      </c>
      <c r="W11" s="432" t="s">
        <v>462</v>
      </c>
      <c r="X11" s="432" t="s">
        <v>860</v>
      </c>
      <c r="Y11" s="435">
        <v>42415</v>
      </c>
      <c r="Z11" s="432" t="s">
        <v>884</v>
      </c>
      <c r="AA11" s="439" t="s">
        <v>906</v>
      </c>
    </row>
    <row r="12" spans="1:27" x14ac:dyDescent="0.25">
      <c r="A12" s="426" t="s">
        <v>332</v>
      </c>
      <c r="B12" s="438" t="s">
        <v>7</v>
      </c>
      <c r="C12" s="438" t="s">
        <v>17</v>
      </c>
      <c r="D12" s="438" t="s">
        <v>14</v>
      </c>
      <c r="E12" s="438" t="s">
        <v>43</v>
      </c>
      <c r="F12" s="438" t="s">
        <v>129</v>
      </c>
      <c r="G12" s="439">
        <v>93.000815000000003</v>
      </c>
      <c r="H12" s="439">
        <v>20.929649000000001</v>
      </c>
      <c r="I12" s="438"/>
      <c r="J12" s="430">
        <v>63</v>
      </c>
      <c r="K12" s="430">
        <v>414</v>
      </c>
      <c r="L12" s="431">
        <v>6.67741935483871</v>
      </c>
      <c r="M12" s="432" t="s">
        <v>326</v>
      </c>
      <c r="N12" s="432" t="s">
        <v>705</v>
      </c>
      <c r="O12" s="432" t="s">
        <v>756</v>
      </c>
      <c r="P12" s="433" t="s">
        <v>810</v>
      </c>
      <c r="Q12" s="432"/>
      <c r="R12" s="432" t="s">
        <v>722</v>
      </c>
      <c r="S12" s="432" t="s">
        <v>608</v>
      </c>
      <c r="T12" s="432" t="s">
        <v>723</v>
      </c>
      <c r="U12" s="432" t="s">
        <v>613</v>
      </c>
      <c r="V12" s="432" t="s">
        <v>270</v>
      </c>
      <c r="W12" s="432" t="s">
        <v>462</v>
      </c>
      <c r="X12" s="432" t="s">
        <v>477</v>
      </c>
      <c r="Y12" s="435">
        <v>42415</v>
      </c>
      <c r="Z12" s="432" t="s">
        <v>885</v>
      </c>
      <c r="AA12" s="439" t="s">
        <v>906</v>
      </c>
    </row>
    <row r="13" spans="1:27" x14ac:dyDescent="0.25">
      <c r="A13" s="426" t="s">
        <v>332</v>
      </c>
      <c r="B13" s="438" t="s">
        <v>7</v>
      </c>
      <c r="C13" s="438" t="s">
        <v>17</v>
      </c>
      <c r="D13" s="438" t="s">
        <v>14</v>
      </c>
      <c r="E13" s="438" t="s">
        <v>50</v>
      </c>
      <c r="F13" s="438" t="s">
        <v>136</v>
      </c>
      <c r="G13" s="439">
        <v>92.969350000000006</v>
      </c>
      <c r="H13" s="439">
        <v>20.727589999999999</v>
      </c>
      <c r="I13" s="438"/>
      <c r="J13" s="430">
        <v>112</v>
      </c>
      <c r="K13" s="430">
        <v>738</v>
      </c>
      <c r="L13" s="431">
        <v>6.5625</v>
      </c>
      <c r="M13" s="432" t="s">
        <v>326</v>
      </c>
      <c r="N13" s="432" t="s">
        <v>705</v>
      </c>
      <c r="O13" s="432" t="s">
        <v>756</v>
      </c>
      <c r="P13" s="433" t="s">
        <v>810</v>
      </c>
      <c r="Q13" s="432"/>
      <c r="R13" s="432" t="s">
        <v>722</v>
      </c>
      <c r="S13" s="432" t="s">
        <v>608</v>
      </c>
      <c r="T13" s="432" t="s">
        <v>723</v>
      </c>
      <c r="U13" s="432" t="s">
        <v>613</v>
      </c>
      <c r="V13" s="432" t="s">
        <v>270</v>
      </c>
      <c r="W13" s="432" t="s">
        <v>462</v>
      </c>
      <c r="X13" s="432" t="s">
        <v>860</v>
      </c>
      <c r="Y13" s="435">
        <v>42415</v>
      </c>
      <c r="Z13" s="432" t="s">
        <v>886</v>
      </c>
      <c r="AA13" s="439" t="s">
        <v>906</v>
      </c>
    </row>
    <row r="14" spans="1:27" x14ac:dyDescent="0.25">
      <c r="A14" s="426" t="s">
        <v>332</v>
      </c>
      <c r="B14" s="438" t="s">
        <v>7</v>
      </c>
      <c r="C14" s="438" t="s">
        <v>17</v>
      </c>
      <c r="D14" s="438" t="s">
        <v>11</v>
      </c>
      <c r="E14" s="438" t="s">
        <v>28</v>
      </c>
      <c r="F14" s="438" t="s">
        <v>114</v>
      </c>
      <c r="G14" s="439">
        <v>93.299485000000004</v>
      </c>
      <c r="H14" s="439">
        <v>20.480898</v>
      </c>
      <c r="I14" s="438"/>
      <c r="J14" s="430">
        <v>86</v>
      </c>
      <c r="K14" s="430">
        <v>444</v>
      </c>
      <c r="L14" s="431">
        <v>5.7674418604651159</v>
      </c>
      <c r="M14" s="432" t="s">
        <v>326</v>
      </c>
      <c r="N14" s="432" t="s">
        <v>705</v>
      </c>
      <c r="O14" s="432" t="s">
        <v>756</v>
      </c>
      <c r="P14" s="433" t="s">
        <v>810</v>
      </c>
      <c r="Q14" s="432"/>
      <c r="R14" s="432" t="s">
        <v>722</v>
      </c>
      <c r="S14" s="432" t="s">
        <v>608</v>
      </c>
      <c r="T14" s="432" t="s">
        <v>723</v>
      </c>
      <c r="U14" s="432" t="s">
        <v>613</v>
      </c>
      <c r="V14" s="432" t="s">
        <v>270</v>
      </c>
      <c r="W14" s="432" t="s">
        <v>462</v>
      </c>
      <c r="X14" s="432" t="s">
        <v>860</v>
      </c>
      <c r="Y14" s="435">
        <v>42415</v>
      </c>
      <c r="Z14" s="432" t="s">
        <v>887</v>
      </c>
      <c r="AA14" s="439" t="s">
        <v>906</v>
      </c>
    </row>
    <row r="15" spans="1:27" x14ac:dyDescent="0.25">
      <c r="A15" s="426" t="s">
        <v>332</v>
      </c>
      <c r="B15" s="438" t="s">
        <v>7</v>
      </c>
      <c r="C15" s="438" t="s">
        <v>17</v>
      </c>
      <c r="D15" s="438" t="s">
        <v>11</v>
      </c>
      <c r="E15" s="438" t="s">
        <v>23</v>
      </c>
      <c r="F15" s="438" t="s">
        <v>109</v>
      </c>
      <c r="G15" s="439">
        <v>93.271642</v>
      </c>
      <c r="H15" s="439">
        <v>20.377523</v>
      </c>
      <c r="I15" s="438"/>
      <c r="J15" s="430">
        <v>19</v>
      </c>
      <c r="K15" s="430">
        <v>142</v>
      </c>
      <c r="L15" s="431">
        <v>7.4736842105263159</v>
      </c>
      <c r="M15" s="432" t="s">
        <v>326</v>
      </c>
      <c r="N15" s="432" t="s">
        <v>705</v>
      </c>
      <c r="O15" s="432" t="s">
        <v>756</v>
      </c>
      <c r="P15" s="433" t="s">
        <v>810</v>
      </c>
      <c r="Q15" s="432"/>
      <c r="R15" s="432" t="s">
        <v>722</v>
      </c>
      <c r="S15" s="432" t="s">
        <v>608</v>
      </c>
      <c r="T15" s="432" t="s">
        <v>723</v>
      </c>
      <c r="U15" s="432" t="s">
        <v>613</v>
      </c>
      <c r="V15" s="432" t="s">
        <v>270</v>
      </c>
      <c r="W15" s="432" t="s">
        <v>462</v>
      </c>
      <c r="X15" s="432" t="s">
        <v>477</v>
      </c>
      <c r="Y15" s="435">
        <v>42415</v>
      </c>
      <c r="Z15" s="432" t="s">
        <v>888</v>
      </c>
      <c r="AA15" s="439" t="s">
        <v>906</v>
      </c>
    </row>
    <row r="16" spans="1:27" x14ac:dyDescent="0.25">
      <c r="A16" s="426" t="s">
        <v>332</v>
      </c>
      <c r="B16" s="438" t="s">
        <v>7</v>
      </c>
      <c r="C16" s="438" t="s">
        <v>17</v>
      </c>
      <c r="D16" s="438" t="s">
        <v>11</v>
      </c>
      <c r="E16" s="438" t="s">
        <v>30</v>
      </c>
      <c r="F16" s="438" t="s">
        <v>116</v>
      </c>
      <c r="G16" s="439">
        <v>93.313627999999994</v>
      </c>
      <c r="H16" s="439">
        <v>20.407971</v>
      </c>
      <c r="I16" s="438"/>
      <c r="J16" s="430">
        <v>225</v>
      </c>
      <c r="K16" s="430">
        <v>1377</v>
      </c>
      <c r="L16" s="431">
        <v>5.8577777777777778</v>
      </c>
      <c r="M16" s="432" t="s">
        <v>326</v>
      </c>
      <c r="N16" s="432" t="s">
        <v>705</v>
      </c>
      <c r="O16" s="432" t="s">
        <v>756</v>
      </c>
      <c r="P16" s="433" t="s">
        <v>810</v>
      </c>
      <c r="Q16" s="432"/>
      <c r="R16" s="432" t="s">
        <v>722</v>
      </c>
      <c r="S16" s="432" t="s">
        <v>608</v>
      </c>
      <c r="T16" s="432" t="s">
        <v>723</v>
      </c>
      <c r="U16" s="432" t="s">
        <v>613</v>
      </c>
      <c r="V16" s="432" t="s">
        <v>270</v>
      </c>
      <c r="W16" s="432" t="s">
        <v>462</v>
      </c>
      <c r="X16" s="432" t="s">
        <v>860</v>
      </c>
      <c r="Y16" s="435">
        <v>42415</v>
      </c>
      <c r="Z16" s="432" t="s">
        <v>889</v>
      </c>
      <c r="AA16" s="439" t="s">
        <v>906</v>
      </c>
    </row>
    <row r="17" spans="1:27" x14ac:dyDescent="0.25">
      <c r="A17" s="426" t="s">
        <v>332</v>
      </c>
      <c r="B17" s="438" t="s">
        <v>7</v>
      </c>
      <c r="C17" s="438" t="s">
        <v>17</v>
      </c>
      <c r="D17" s="438" t="s">
        <v>11</v>
      </c>
      <c r="E17" s="438" t="s">
        <v>25</v>
      </c>
      <c r="F17" s="438" t="s">
        <v>111</v>
      </c>
      <c r="G17" s="439">
        <v>93.249669999999995</v>
      </c>
      <c r="H17" s="439">
        <v>20.39902</v>
      </c>
      <c r="I17" s="438"/>
      <c r="J17" s="430">
        <v>86</v>
      </c>
      <c r="K17" s="430">
        <v>476</v>
      </c>
      <c r="L17" s="431">
        <v>6.058139534883721</v>
      </c>
      <c r="M17" s="432" t="s">
        <v>326</v>
      </c>
      <c r="N17" s="432" t="s">
        <v>705</v>
      </c>
      <c r="O17" s="432" t="s">
        <v>756</v>
      </c>
      <c r="P17" s="433" t="s">
        <v>810</v>
      </c>
      <c r="Q17" s="432"/>
      <c r="R17" s="432" t="s">
        <v>722</v>
      </c>
      <c r="S17" s="432" t="s">
        <v>608</v>
      </c>
      <c r="T17" s="432" t="s">
        <v>723</v>
      </c>
      <c r="U17" s="432" t="s">
        <v>613</v>
      </c>
      <c r="V17" s="432" t="s">
        <v>270</v>
      </c>
      <c r="W17" s="432" t="s">
        <v>462</v>
      </c>
      <c r="X17" s="432" t="s">
        <v>860</v>
      </c>
      <c r="Y17" s="435">
        <v>42415</v>
      </c>
      <c r="Z17" s="432" t="s">
        <v>890</v>
      </c>
      <c r="AA17" s="439" t="s">
        <v>906</v>
      </c>
    </row>
    <row r="18" spans="1:27" x14ac:dyDescent="0.25">
      <c r="A18" s="426" t="s">
        <v>332</v>
      </c>
      <c r="B18" s="438" t="s">
        <v>7</v>
      </c>
      <c r="C18" s="438" t="s">
        <v>17</v>
      </c>
      <c r="D18" s="438" t="s">
        <v>11</v>
      </c>
      <c r="E18" s="438" t="s">
        <v>513</v>
      </c>
      <c r="F18" s="438" t="s">
        <v>514</v>
      </c>
      <c r="G18" s="439">
        <v>93.314695</v>
      </c>
      <c r="H18" s="439">
        <v>20.409645000000001</v>
      </c>
      <c r="I18" s="438"/>
      <c r="J18" s="430">
        <v>17</v>
      </c>
      <c r="K18" s="430">
        <v>72</v>
      </c>
      <c r="L18" s="431">
        <v>4</v>
      </c>
      <c r="M18" s="432" t="s">
        <v>326</v>
      </c>
      <c r="N18" s="432" t="s">
        <v>705</v>
      </c>
      <c r="O18" s="432" t="s">
        <v>21</v>
      </c>
      <c r="P18" s="433" t="s">
        <v>811</v>
      </c>
      <c r="Q18" s="432"/>
      <c r="R18" s="434" t="s">
        <v>7</v>
      </c>
      <c r="S18" s="434" t="s">
        <v>708</v>
      </c>
      <c r="T18" s="434" t="s">
        <v>709</v>
      </c>
      <c r="U18" s="432" t="s">
        <v>613</v>
      </c>
      <c r="V18" s="432" t="s">
        <v>270</v>
      </c>
      <c r="W18" s="432" t="s">
        <v>462</v>
      </c>
      <c r="X18" s="432" t="s">
        <v>477</v>
      </c>
      <c r="Y18" s="435">
        <v>42415</v>
      </c>
      <c r="Z18" s="432" t="s">
        <v>891</v>
      </c>
      <c r="AA18" s="439" t="s">
        <v>906</v>
      </c>
    </row>
    <row r="19" spans="1:27" x14ac:dyDescent="0.25">
      <c r="A19" s="426" t="s">
        <v>332</v>
      </c>
      <c r="B19" s="438" t="s">
        <v>7</v>
      </c>
      <c r="C19" s="438" t="s">
        <v>17</v>
      </c>
      <c r="D19" s="438" t="s">
        <v>11</v>
      </c>
      <c r="E19" s="438" t="s">
        <v>24</v>
      </c>
      <c r="F19" s="438" t="s">
        <v>110</v>
      </c>
      <c r="G19" s="439">
        <v>93.257272</v>
      </c>
      <c r="H19" s="439">
        <v>20.392137999999999</v>
      </c>
      <c r="I19" s="438"/>
      <c r="J19" s="430">
        <v>203</v>
      </c>
      <c r="K19" s="430">
        <v>1420</v>
      </c>
      <c r="L19" s="431">
        <v>5.3529411764705879</v>
      </c>
      <c r="M19" s="432" t="s">
        <v>326</v>
      </c>
      <c r="N19" s="432" t="s">
        <v>705</v>
      </c>
      <c r="O19" s="432" t="s">
        <v>756</v>
      </c>
      <c r="P19" s="433" t="s">
        <v>810</v>
      </c>
      <c r="Q19" s="432"/>
      <c r="R19" s="432" t="s">
        <v>722</v>
      </c>
      <c r="S19" s="432" t="s">
        <v>608</v>
      </c>
      <c r="T19" s="432" t="s">
        <v>723</v>
      </c>
      <c r="U19" s="432" t="s">
        <v>613</v>
      </c>
      <c r="V19" s="432" t="s">
        <v>270</v>
      </c>
      <c r="W19" s="432" t="s">
        <v>462</v>
      </c>
      <c r="X19" s="432" t="s">
        <v>860</v>
      </c>
      <c r="Y19" s="435">
        <v>42415</v>
      </c>
      <c r="Z19" s="432" t="s">
        <v>892</v>
      </c>
      <c r="AA19" s="439" t="s">
        <v>906</v>
      </c>
    </row>
    <row r="20" spans="1:27" x14ac:dyDescent="0.25">
      <c r="A20" s="426" t="s">
        <v>332</v>
      </c>
      <c r="B20" s="438" t="s">
        <v>7</v>
      </c>
      <c r="C20" s="438" t="s">
        <v>17</v>
      </c>
      <c r="D20" s="438" t="s">
        <v>11</v>
      </c>
      <c r="E20" s="438" t="s">
        <v>27</v>
      </c>
      <c r="F20" s="438" t="s">
        <v>113</v>
      </c>
      <c r="G20" s="439">
        <v>93.258573999999996</v>
      </c>
      <c r="H20" s="439">
        <v>20.587142</v>
      </c>
      <c r="I20" s="438"/>
      <c r="J20" s="430">
        <v>275</v>
      </c>
      <c r="K20" s="430">
        <v>1707</v>
      </c>
      <c r="L20" s="431">
        <v>5.9527272727272731</v>
      </c>
      <c r="M20" s="432" t="s">
        <v>326</v>
      </c>
      <c r="N20" s="432" t="s">
        <v>705</v>
      </c>
      <c r="O20" s="432" t="s">
        <v>756</v>
      </c>
      <c r="P20" s="433" t="s">
        <v>810</v>
      </c>
      <c r="Q20" s="432"/>
      <c r="R20" s="432" t="s">
        <v>722</v>
      </c>
      <c r="S20" s="432" t="s">
        <v>608</v>
      </c>
      <c r="T20" s="432" t="s">
        <v>723</v>
      </c>
      <c r="U20" s="432" t="s">
        <v>613</v>
      </c>
      <c r="V20" s="432" t="s">
        <v>270</v>
      </c>
      <c r="W20" s="432" t="s">
        <v>462</v>
      </c>
      <c r="X20" s="432" t="s">
        <v>860</v>
      </c>
      <c r="Y20" s="435">
        <v>42415</v>
      </c>
      <c r="Z20" s="432" t="s">
        <v>893</v>
      </c>
      <c r="AA20" s="439" t="s">
        <v>906</v>
      </c>
    </row>
    <row r="21" spans="1:27" x14ac:dyDescent="0.25">
      <c r="A21" s="426" t="s">
        <v>332</v>
      </c>
      <c r="B21" s="438" t="s">
        <v>7</v>
      </c>
      <c r="C21" s="438" t="s">
        <v>17</v>
      </c>
      <c r="D21" s="438" t="s">
        <v>12</v>
      </c>
      <c r="E21" s="438" t="s">
        <v>31</v>
      </c>
      <c r="F21" s="438" t="s">
        <v>117</v>
      </c>
      <c r="G21" s="439">
        <v>93.245551000000006</v>
      </c>
      <c r="H21" s="439">
        <v>20.576577</v>
      </c>
      <c r="I21" s="438"/>
      <c r="J21" s="430">
        <v>204</v>
      </c>
      <c r="K21" s="430">
        <v>1265</v>
      </c>
      <c r="L21" s="431">
        <v>5.5245098039215685</v>
      </c>
      <c r="M21" s="432" t="s">
        <v>326</v>
      </c>
      <c r="N21" s="432" t="s">
        <v>705</v>
      </c>
      <c r="O21" s="432" t="s">
        <v>756</v>
      </c>
      <c r="P21" s="433" t="s">
        <v>810</v>
      </c>
      <c r="Q21" s="432"/>
      <c r="R21" s="432" t="s">
        <v>722</v>
      </c>
      <c r="S21" s="432" t="s">
        <v>608</v>
      </c>
      <c r="T21" s="432" t="s">
        <v>723</v>
      </c>
      <c r="U21" s="432" t="s">
        <v>613</v>
      </c>
      <c r="V21" s="432" t="s">
        <v>270</v>
      </c>
      <c r="W21" s="432" t="s">
        <v>462</v>
      </c>
      <c r="X21" s="432" t="s">
        <v>860</v>
      </c>
      <c r="Y21" s="435">
        <v>42415</v>
      </c>
      <c r="Z21" s="432" t="s">
        <v>894</v>
      </c>
      <c r="AA21" s="439" t="s">
        <v>906</v>
      </c>
    </row>
    <row r="22" spans="1:27" x14ac:dyDescent="0.25">
      <c r="A22" s="426" t="s">
        <v>332</v>
      </c>
      <c r="B22" s="438" t="s">
        <v>7</v>
      </c>
      <c r="C22" s="438" t="s">
        <v>17</v>
      </c>
      <c r="D22" s="438" t="s">
        <v>12</v>
      </c>
      <c r="E22" s="438" t="s">
        <v>34</v>
      </c>
      <c r="F22" s="438" t="s">
        <v>120</v>
      </c>
      <c r="G22" s="439">
        <v>93.239519999999999</v>
      </c>
      <c r="H22" s="439">
        <v>20.61692</v>
      </c>
      <c r="I22" s="438"/>
      <c r="J22" s="430">
        <v>10</v>
      </c>
      <c r="K22" s="430">
        <v>64</v>
      </c>
      <c r="L22" s="431">
        <v>6.4</v>
      </c>
      <c r="M22" s="432" t="s">
        <v>326</v>
      </c>
      <c r="N22" s="432" t="s">
        <v>705</v>
      </c>
      <c r="O22" s="432" t="s">
        <v>21</v>
      </c>
      <c r="P22" s="433" t="s">
        <v>811</v>
      </c>
      <c r="Q22" s="432"/>
      <c r="R22" s="432" t="s">
        <v>609</v>
      </c>
      <c r="S22" s="434" t="s">
        <v>708</v>
      </c>
      <c r="T22" s="434" t="s">
        <v>876</v>
      </c>
      <c r="U22" s="432" t="s">
        <v>613</v>
      </c>
      <c r="V22" s="432" t="s">
        <v>270</v>
      </c>
      <c r="W22" s="432" t="s">
        <v>462</v>
      </c>
      <c r="X22" s="432" t="s">
        <v>477</v>
      </c>
      <c r="Y22" s="435">
        <v>42415</v>
      </c>
      <c r="Z22" s="432" t="s">
        <v>895</v>
      </c>
      <c r="AA22" s="439" t="s">
        <v>906</v>
      </c>
    </row>
    <row r="23" spans="1:27" x14ac:dyDescent="0.25">
      <c r="A23" s="426" t="s">
        <v>332</v>
      </c>
      <c r="B23" s="438" t="s">
        <v>7</v>
      </c>
      <c r="C23" s="438" t="s">
        <v>17</v>
      </c>
      <c r="D23" s="438" t="s">
        <v>12</v>
      </c>
      <c r="E23" s="438" t="s">
        <v>578</v>
      </c>
      <c r="F23" s="438" t="s">
        <v>579</v>
      </c>
      <c r="G23" s="439">
        <v>93.246863000000005</v>
      </c>
      <c r="H23" s="439">
        <v>20.495086000000001</v>
      </c>
      <c r="I23" s="438"/>
      <c r="J23" s="430">
        <v>31</v>
      </c>
      <c r="K23" s="430">
        <v>131</v>
      </c>
      <c r="L23" s="431">
        <v>4.225806451612903</v>
      </c>
      <c r="M23" s="432" t="s">
        <v>326</v>
      </c>
      <c r="N23" s="432" t="s">
        <v>705</v>
      </c>
      <c r="O23" s="432" t="s">
        <v>21</v>
      </c>
      <c r="P23" s="433" t="s">
        <v>811</v>
      </c>
      <c r="Q23" s="432"/>
      <c r="R23" s="432" t="s">
        <v>7</v>
      </c>
      <c r="S23" s="432" t="s">
        <v>708</v>
      </c>
      <c r="T23" s="432" t="s">
        <v>709</v>
      </c>
      <c r="U23" s="432" t="s">
        <v>613</v>
      </c>
      <c r="V23" s="432" t="s">
        <v>270</v>
      </c>
      <c r="W23" s="432" t="s">
        <v>462</v>
      </c>
      <c r="X23" s="432" t="s">
        <v>477</v>
      </c>
      <c r="Y23" s="435">
        <v>42415</v>
      </c>
      <c r="Z23" s="432" t="s">
        <v>896</v>
      </c>
      <c r="AA23" s="439" t="s">
        <v>906</v>
      </c>
    </row>
    <row r="24" spans="1:27" x14ac:dyDescent="0.25">
      <c r="A24" s="426" t="s">
        <v>332</v>
      </c>
      <c r="B24" s="438" t="s">
        <v>7</v>
      </c>
      <c r="C24" s="438" t="s">
        <v>17</v>
      </c>
      <c r="D24" s="438" t="s">
        <v>12</v>
      </c>
      <c r="E24" s="438" t="s">
        <v>32</v>
      </c>
      <c r="F24" s="438" t="s">
        <v>118</v>
      </c>
      <c r="G24" s="439">
        <v>93.217039999999997</v>
      </c>
      <c r="H24" s="439">
        <v>20.501757999999999</v>
      </c>
      <c r="I24" s="438"/>
      <c r="J24" s="430">
        <v>365</v>
      </c>
      <c r="K24" s="430">
        <v>2366</v>
      </c>
      <c r="L24" s="431">
        <v>6.4821917808219176</v>
      </c>
      <c r="M24" s="432" t="s">
        <v>326</v>
      </c>
      <c r="N24" s="432" t="s">
        <v>705</v>
      </c>
      <c r="O24" s="432" t="s">
        <v>756</v>
      </c>
      <c r="P24" s="433" t="s">
        <v>810</v>
      </c>
      <c r="Q24" s="432"/>
      <c r="R24" s="432" t="s">
        <v>722</v>
      </c>
      <c r="S24" s="432" t="s">
        <v>608</v>
      </c>
      <c r="T24" s="432" t="s">
        <v>723</v>
      </c>
      <c r="U24" s="432" t="s">
        <v>613</v>
      </c>
      <c r="V24" s="432" t="s">
        <v>270</v>
      </c>
      <c r="W24" s="432" t="s">
        <v>462</v>
      </c>
      <c r="X24" s="432" t="s">
        <v>860</v>
      </c>
      <c r="Y24" s="435">
        <v>42415</v>
      </c>
      <c r="Z24" s="432" t="s">
        <v>897</v>
      </c>
      <c r="AA24" s="439" t="s">
        <v>906</v>
      </c>
    </row>
    <row r="25" spans="1:27" ht="45" x14ac:dyDescent="0.25">
      <c r="A25" s="426" t="s">
        <v>332</v>
      </c>
      <c r="B25" s="438" t="s">
        <v>7</v>
      </c>
      <c r="C25" s="438" t="s">
        <v>17</v>
      </c>
      <c r="D25" s="438" t="s">
        <v>13</v>
      </c>
      <c r="E25" s="438" t="s">
        <v>37</v>
      </c>
      <c r="F25" s="438" t="s">
        <v>123</v>
      </c>
      <c r="G25" s="439">
        <v>93.067891000000003</v>
      </c>
      <c r="H25" s="439">
        <v>20.173468</v>
      </c>
      <c r="I25" s="438"/>
      <c r="J25" s="430">
        <v>21</v>
      </c>
      <c r="K25" s="430">
        <v>122</v>
      </c>
      <c r="L25" s="431">
        <v>5.8095238095238093</v>
      </c>
      <c r="M25" s="432" t="s">
        <v>326</v>
      </c>
      <c r="N25" s="432" t="s">
        <v>705</v>
      </c>
      <c r="O25" s="432" t="s">
        <v>20</v>
      </c>
      <c r="P25" s="433"/>
      <c r="Q25" s="432"/>
      <c r="R25" s="432" t="s">
        <v>7</v>
      </c>
      <c r="S25" s="432" t="s">
        <v>708</v>
      </c>
      <c r="T25" s="432" t="s">
        <v>709</v>
      </c>
      <c r="U25" s="432" t="s">
        <v>612</v>
      </c>
      <c r="V25" s="432" t="s">
        <v>575</v>
      </c>
      <c r="W25" s="432" t="s">
        <v>826</v>
      </c>
      <c r="X25" s="432" t="s">
        <v>827</v>
      </c>
      <c r="Y25" s="435">
        <v>42415</v>
      </c>
      <c r="Z25" s="432" t="s">
        <v>898</v>
      </c>
      <c r="AA25" s="450" t="s">
        <v>812</v>
      </c>
    </row>
    <row r="26" spans="1:27" x14ac:dyDescent="0.25">
      <c r="A26" s="427" t="s">
        <v>331</v>
      </c>
      <c r="B26" s="440" t="s">
        <v>7</v>
      </c>
      <c r="C26" s="440" t="s">
        <v>17</v>
      </c>
      <c r="D26" s="440" t="s">
        <v>13</v>
      </c>
      <c r="E26" s="440" t="s">
        <v>40</v>
      </c>
      <c r="F26" s="440" t="s">
        <v>126</v>
      </c>
      <c r="G26" s="441">
        <v>93.010368999999997</v>
      </c>
      <c r="H26" s="441">
        <v>20.090183</v>
      </c>
      <c r="I26" s="440"/>
      <c r="J26" s="443">
        <v>112</v>
      </c>
      <c r="K26" s="443">
        <v>616</v>
      </c>
      <c r="L26" s="444">
        <v>4.8249227600411944</v>
      </c>
      <c r="M26" s="445" t="s">
        <v>326</v>
      </c>
      <c r="N26" s="445" t="s">
        <v>705</v>
      </c>
      <c r="O26" s="445" t="s">
        <v>20</v>
      </c>
      <c r="P26" s="446"/>
      <c r="Q26" s="445"/>
      <c r="R26" s="445" t="s">
        <v>722</v>
      </c>
      <c r="S26" s="445" t="s">
        <v>608</v>
      </c>
      <c r="T26" s="445" t="s">
        <v>723</v>
      </c>
      <c r="U26" s="445" t="s">
        <v>613</v>
      </c>
      <c r="V26" s="445" t="s">
        <v>270</v>
      </c>
      <c r="W26" s="445" t="s">
        <v>826</v>
      </c>
      <c r="X26" s="445" t="s">
        <v>827</v>
      </c>
      <c r="Y26" s="435">
        <v>42415</v>
      </c>
      <c r="Z26" s="445" t="s">
        <v>875</v>
      </c>
      <c r="AA26" s="441" t="s">
        <v>907</v>
      </c>
    </row>
    <row r="27" spans="1:27" ht="45" x14ac:dyDescent="0.25">
      <c r="A27" s="427" t="s">
        <v>331</v>
      </c>
      <c r="B27" s="440" t="s">
        <v>7</v>
      </c>
      <c r="C27" s="440" t="s">
        <v>17</v>
      </c>
      <c r="D27" s="440" t="s">
        <v>13</v>
      </c>
      <c r="E27" s="440" t="s">
        <v>39</v>
      </c>
      <c r="F27" s="440" t="s">
        <v>125</v>
      </c>
      <c r="G27" s="441">
        <v>93.154551999999995</v>
      </c>
      <c r="H27" s="441">
        <v>20.073437999999999</v>
      </c>
      <c r="I27" s="440"/>
      <c r="J27" s="443">
        <v>775</v>
      </c>
      <c r="K27" s="443">
        <v>4262</v>
      </c>
      <c r="L27" s="444">
        <v>4.7418321588725174</v>
      </c>
      <c r="M27" s="445" t="s">
        <v>326</v>
      </c>
      <c r="N27" s="445" t="s">
        <v>705</v>
      </c>
      <c r="O27" s="445" t="s">
        <v>20</v>
      </c>
      <c r="P27" s="446"/>
      <c r="Q27" s="445"/>
      <c r="R27" s="445" t="s">
        <v>722</v>
      </c>
      <c r="S27" s="445" t="s">
        <v>608</v>
      </c>
      <c r="T27" s="445" t="s">
        <v>723</v>
      </c>
      <c r="U27" s="445" t="s">
        <v>612</v>
      </c>
      <c r="V27" s="445" t="s">
        <v>575</v>
      </c>
      <c r="W27" s="445" t="s">
        <v>826</v>
      </c>
      <c r="X27" s="445" t="s">
        <v>827</v>
      </c>
      <c r="Y27" s="435">
        <v>42415</v>
      </c>
      <c r="Z27" s="445" t="s">
        <v>874</v>
      </c>
      <c r="AA27" s="451" t="s">
        <v>812</v>
      </c>
    </row>
    <row r="28" spans="1:27" x14ac:dyDescent="0.25">
      <c r="A28" s="426" t="s">
        <v>332</v>
      </c>
      <c r="B28" s="438" t="s">
        <v>7</v>
      </c>
      <c r="C28" s="438" t="s">
        <v>17</v>
      </c>
      <c r="D28" s="438" t="s">
        <v>17</v>
      </c>
      <c r="E28" s="438" t="s">
        <v>590</v>
      </c>
      <c r="F28" s="438" t="s">
        <v>592</v>
      </c>
      <c r="G28" s="439">
        <v>92.887277999999995</v>
      </c>
      <c r="H28" s="439">
        <v>20.151471999999998</v>
      </c>
      <c r="I28" s="438"/>
      <c r="J28" s="430">
        <v>249</v>
      </c>
      <c r="K28" s="430">
        <v>1282</v>
      </c>
      <c r="L28" s="431">
        <v>5.1485943775100402</v>
      </c>
      <c r="M28" s="432" t="s">
        <v>326</v>
      </c>
      <c r="N28" s="432" t="s">
        <v>759</v>
      </c>
      <c r="O28" s="432" t="s">
        <v>20</v>
      </c>
      <c r="P28" s="433"/>
      <c r="Q28" s="432"/>
      <c r="R28" s="432" t="s">
        <v>7</v>
      </c>
      <c r="S28" s="432" t="s">
        <v>708</v>
      </c>
      <c r="T28" s="432" t="s">
        <v>709</v>
      </c>
      <c r="U28" s="432" t="s">
        <v>613</v>
      </c>
      <c r="V28" s="432" t="s">
        <v>270</v>
      </c>
      <c r="W28" s="432" t="s">
        <v>826</v>
      </c>
      <c r="X28" s="432" t="s">
        <v>827</v>
      </c>
      <c r="Y28" s="435">
        <v>42415</v>
      </c>
      <c r="Z28" s="432" t="s">
        <v>898</v>
      </c>
      <c r="AA28" s="442" t="s">
        <v>822</v>
      </c>
    </row>
    <row r="29" spans="1:27" x14ac:dyDescent="0.25">
      <c r="A29" s="426" t="s">
        <v>332</v>
      </c>
      <c r="B29" s="438" t="s">
        <v>7</v>
      </c>
      <c r="C29" s="438" t="s">
        <v>17</v>
      </c>
      <c r="D29" s="438" t="s">
        <v>17</v>
      </c>
      <c r="E29" s="438" t="s">
        <v>591</v>
      </c>
      <c r="F29" s="438" t="s">
        <v>593</v>
      </c>
      <c r="G29" s="439">
        <v>92.887277999999995</v>
      </c>
      <c r="H29" s="439">
        <v>20.151471999999998</v>
      </c>
      <c r="I29" s="438"/>
      <c r="J29" s="430">
        <v>418</v>
      </c>
      <c r="K29" s="430">
        <v>2200</v>
      </c>
      <c r="L29" s="431">
        <v>5.2631578947368425</v>
      </c>
      <c r="M29" s="432" t="s">
        <v>326</v>
      </c>
      <c r="N29" s="432" t="s">
        <v>759</v>
      </c>
      <c r="O29" s="432" t="s">
        <v>20</v>
      </c>
      <c r="P29" s="433"/>
      <c r="Q29" s="432"/>
      <c r="R29" s="432" t="s">
        <v>7</v>
      </c>
      <c r="S29" s="432" t="s">
        <v>708</v>
      </c>
      <c r="T29" s="432" t="s">
        <v>709</v>
      </c>
      <c r="U29" s="432" t="s">
        <v>613</v>
      </c>
      <c r="V29" s="432" t="s">
        <v>270</v>
      </c>
      <c r="W29" s="432" t="s">
        <v>826</v>
      </c>
      <c r="X29" s="432" t="s">
        <v>827</v>
      </c>
      <c r="Y29" s="435">
        <v>42415</v>
      </c>
      <c r="Z29" s="432" t="s">
        <v>899</v>
      </c>
      <c r="AA29" s="442" t="s">
        <v>822</v>
      </c>
    </row>
    <row r="30" spans="1:27" ht="45" x14ac:dyDescent="0.25">
      <c r="A30" s="426" t="s">
        <v>332</v>
      </c>
      <c r="B30" s="438" t="s">
        <v>7</v>
      </c>
      <c r="C30" s="438" t="s">
        <v>17</v>
      </c>
      <c r="D30" s="438" t="s">
        <v>17</v>
      </c>
      <c r="E30" s="438" t="s">
        <v>76</v>
      </c>
      <c r="F30" s="438" t="s">
        <v>162</v>
      </c>
      <c r="G30" s="439">
        <v>92.880319999999998</v>
      </c>
      <c r="H30" s="439">
        <v>20.148584</v>
      </c>
      <c r="I30" s="438"/>
      <c r="J30" s="430">
        <v>72</v>
      </c>
      <c r="K30" s="430">
        <v>489</v>
      </c>
      <c r="L30" s="431">
        <v>6.416666666666667</v>
      </c>
      <c r="M30" s="432" t="s">
        <v>326</v>
      </c>
      <c r="N30" s="432" t="s">
        <v>705</v>
      </c>
      <c r="O30" s="432" t="s">
        <v>20</v>
      </c>
      <c r="P30" s="433"/>
      <c r="Q30" s="432"/>
      <c r="R30" s="432" t="s">
        <v>609</v>
      </c>
      <c r="S30" s="432" t="s">
        <v>708</v>
      </c>
      <c r="T30" s="432" t="s">
        <v>876</v>
      </c>
      <c r="U30" s="432" t="s">
        <v>612</v>
      </c>
      <c r="V30" s="432" t="s">
        <v>575</v>
      </c>
      <c r="W30" s="432" t="s">
        <v>826</v>
      </c>
      <c r="X30" s="432" t="s">
        <v>827</v>
      </c>
      <c r="Y30" s="435">
        <v>42415</v>
      </c>
      <c r="Z30" s="432" t="s">
        <v>900</v>
      </c>
      <c r="AA30" s="450" t="s">
        <v>812</v>
      </c>
    </row>
    <row r="31" spans="1:27" ht="45" x14ac:dyDescent="0.25">
      <c r="A31" s="426" t="s">
        <v>332</v>
      </c>
      <c r="B31" s="438" t="s">
        <v>7</v>
      </c>
      <c r="C31" s="438" t="s">
        <v>17</v>
      </c>
      <c r="D31" s="438" t="s">
        <v>17</v>
      </c>
      <c r="E31" s="438" t="s">
        <v>232</v>
      </c>
      <c r="F31" s="438" t="s">
        <v>269</v>
      </c>
      <c r="G31" s="439">
        <v>92.879138999999995</v>
      </c>
      <c r="H31" s="439">
        <v>20.155805999999998</v>
      </c>
      <c r="I31" s="438"/>
      <c r="J31" s="430">
        <v>151</v>
      </c>
      <c r="K31" s="430">
        <v>652</v>
      </c>
      <c r="L31" s="431">
        <v>4.2384105960264904</v>
      </c>
      <c r="M31" s="432" t="s">
        <v>326</v>
      </c>
      <c r="N31" s="432" t="s">
        <v>705</v>
      </c>
      <c r="O31" s="432" t="s">
        <v>20</v>
      </c>
      <c r="P31" s="433"/>
      <c r="Q31" s="432"/>
      <c r="R31" s="432" t="s">
        <v>7</v>
      </c>
      <c r="S31" s="432" t="s">
        <v>708</v>
      </c>
      <c r="T31" s="432" t="s">
        <v>709</v>
      </c>
      <c r="U31" s="432" t="s">
        <v>612</v>
      </c>
      <c r="V31" s="432" t="s">
        <v>575</v>
      </c>
      <c r="W31" s="432" t="s">
        <v>826</v>
      </c>
      <c r="X31" s="432" t="s">
        <v>827</v>
      </c>
      <c r="Y31" s="435">
        <v>42415</v>
      </c>
      <c r="Z31" s="432" t="s">
        <v>901</v>
      </c>
      <c r="AA31" s="450" t="s">
        <v>812</v>
      </c>
    </row>
    <row r="32" spans="1:27" s="230" customFormat="1" x14ac:dyDescent="0.25">
      <c r="A32" s="448" t="s">
        <v>332</v>
      </c>
      <c r="B32" s="438" t="s">
        <v>7</v>
      </c>
      <c r="C32" s="438" t="s">
        <v>17</v>
      </c>
      <c r="D32" s="438" t="s">
        <v>15</v>
      </c>
      <c r="E32" s="438" t="s">
        <v>54</v>
      </c>
      <c r="F32" s="438" t="s">
        <v>140</v>
      </c>
      <c r="G32" s="439">
        <v>92.781294000000003</v>
      </c>
      <c r="H32" s="439">
        <v>20.399269</v>
      </c>
      <c r="I32" s="438"/>
      <c r="J32" s="430">
        <v>32</v>
      </c>
      <c r="K32" s="430">
        <v>162</v>
      </c>
      <c r="L32" s="431">
        <v>5.21875</v>
      </c>
      <c r="M32" s="432" t="s">
        <v>326</v>
      </c>
      <c r="N32" s="432" t="s">
        <v>705</v>
      </c>
      <c r="O32" s="432" t="s">
        <v>20</v>
      </c>
      <c r="P32" s="449"/>
      <c r="Q32" s="432"/>
      <c r="R32" s="432" t="s">
        <v>722</v>
      </c>
      <c r="S32" s="432" t="s">
        <v>608</v>
      </c>
      <c r="T32" s="432" t="s">
        <v>723</v>
      </c>
      <c r="U32" s="432" t="s">
        <v>613</v>
      </c>
      <c r="V32" s="432" t="s">
        <v>270</v>
      </c>
      <c r="W32" s="432" t="s">
        <v>462</v>
      </c>
      <c r="X32" s="432" t="s">
        <v>477</v>
      </c>
      <c r="Y32" s="435">
        <v>42415</v>
      </c>
      <c r="Z32" s="432" t="s">
        <v>902</v>
      </c>
      <c r="AA32" s="439" t="s">
        <v>822</v>
      </c>
    </row>
    <row r="33" spans="1:16376" s="230" customFormat="1" x14ac:dyDescent="0.25">
      <c r="A33" s="436" t="s">
        <v>332</v>
      </c>
      <c r="B33" s="436" t="s">
        <v>7</v>
      </c>
      <c r="C33" s="436" t="s">
        <v>17</v>
      </c>
      <c r="D33" s="436" t="s">
        <v>15</v>
      </c>
      <c r="E33" s="436" t="s">
        <v>53</v>
      </c>
      <c r="F33" s="436" t="s">
        <v>139</v>
      </c>
      <c r="G33" s="437">
        <v>92.785706000000005</v>
      </c>
      <c r="H33" s="437">
        <v>20.335864000000001</v>
      </c>
      <c r="I33" s="436"/>
      <c r="J33" s="428">
        <v>54</v>
      </c>
      <c r="K33" s="428">
        <v>324</v>
      </c>
      <c r="L33" s="429">
        <v>6.2857142857142856</v>
      </c>
      <c r="M33" s="447" t="s">
        <v>326</v>
      </c>
      <c r="N33" s="447" t="s">
        <v>705</v>
      </c>
      <c r="O33" s="447" t="s">
        <v>20</v>
      </c>
      <c r="P33" s="447"/>
      <c r="Q33" s="447"/>
      <c r="R33" s="447" t="s">
        <v>722</v>
      </c>
      <c r="S33" s="447" t="s">
        <v>608</v>
      </c>
      <c r="T33" s="447" t="s">
        <v>723</v>
      </c>
      <c r="U33" s="447" t="s">
        <v>613</v>
      </c>
      <c r="V33" s="447" t="s">
        <v>270</v>
      </c>
      <c r="W33" s="447" t="s">
        <v>462</v>
      </c>
      <c r="X33" s="447" t="s">
        <v>477</v>
      </c>
      <c r="Y33" s="435">
        <v>42415</v>
      </c>
      <c r="Z33" s="432" t="s">
        <v>903</v>
      </c>
      <c r="AA33" s="437" t="s">
        <v>822</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71" priority="8" operator="equal">
      <formula>"close"</formula>
    </cfRule>
  </conditionalFormatting>
  <conditionalFormatting sqref="A11:A13">
    <cfRule type="cellIs" dxfId="1170" priority="7" operator="equal">
      <formula>"close"</formula>
    </cfRule>
  </conditionalFormatting>
  <conditionalFormatting sqref="A14:A24">
    <cfRule type="cellIs" dxfId="1169" priority="6" operator="equal">
      <formula>"close"</formula>
    </cfRule>
  </conditionalFormatting>
  <conditionalFormatting sqref="A25:A27">
    <cfRule type="cellIs" dxfId="1168" priority="5" operator="equal">
      <formula>"close"</formula>
    </cfRule>
  </conditionalFormatting>
  <conditionalFormatting sqref="A28:A29">
    <cfRule type="cellIs" dxfId="1167" priority="4" operator="equal">
      <formula>"close"</formula>
    </cfRule>
  </conditionalFormatting>
  <conditionalFormatting sqref="A30:A31">
    <cfRule type="cellIs" dxfId="1166" priority="3" operator="equal">
      <formula>"close"</formula>
    </cfRule>
  </conditionalFormatting>
  <conditionalFormatting sqref="A32">
    <cfRule type="cellIs" dxfId="1165" priority="2" operator="equal">
      <formula>"close"</formula>
    </cfRule>
  </conditionalFormatting>
  <conditionalFormatting sqref="A33">
    <cfRule type="cellIs" dxfId="1164"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E49" sqref="E49"/>
    </sheetView>
  </sheetViews>
  <sheetFormatPr defaultRowHeight="15" x14ac:dyDescent="0.25"/>
  <cols>
    <col min="1" max="1" width="19"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108" t="s">
        <v>558</v>
      </c>
      <c r="B2" s="1109"/>
      <c r="C2" s="1109"/>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10">
        <f>Report_Date</f>
        <v>43434</v>
      </c>
      <c r="B3" s="1111"/>
      <c r="C3" s="1111"/>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68" t="s">
        <v>329</v>
      </c>
      <c r="B6" s="394" t="s">
        <v>331</v>
      </c>
    </row>
    <row r="7" spans="1:61" ht="2.25" customHeight="1" x14ac:dyDescent="0.25"/>
    <row r="8" spans="1:61" s="104" customFormat="1" x14ac:dyDescent="0.25">
      <c r="A8" s="864" t="s">
        <v>0</v>
      </c>
      <c r="B8" s="864" t="s">
        <v>9</v>
      </c>
      <c r="C8" s="864" t="s">
        <v>8</v>
      </c>
      <c r="D8" s="864" t="s">
        <v>837</v>
      </c>
      <c r="E8" s="864" t="s">
        <v>615</v>
      </c>
      <c r="F8" s="865" t="s">
        <v>556</v>
      </c>
      <c r="G8" s="865" t="s">
        <v>557</v>
      </c>
      <c r="H8" s="394" t="s">
        <v>836</v>
      </c>
    </row>
    <row r="9" spans="1:61" ht="14.25" customHeight="1" x14ac:dyDescent="0.25">
      <c r="A9" s="394" t="s">
        <v>14</v>
      </c>
      <c r="B9" s="394" t="s">
        <v>45</v>
      </c>
      <c r="C9" s="394" t="s">
        <v>131</v>
      </c>
      <c r="D9" s="394" t="s">
        <v>270</v>
      </c>
      <c r="E9" s="394" t="s">
        <v>613</v>
      </c>
      <c r="F9" s="866">
        <v>85</v>
      </c>
      <c r="G9" s="866">
        <v>546</v>
      </c>
      <c r="H9" s="867">
        <v>1</v>
      </c>
    </row>
    <row r="10" spans="1:61" ht="14.25" customHeight="1" x14ac:dyDescent="0.25">
      <c r="A10" s="394" t="s">
        <v>911</v>
      </c>
      <c r="B10" s="394"/>
      <c r="C10" s="394"/>
      <c r="D10" s="394"/>
      <c r="E10" s="394"/>
      <c r="F10" s="866">
        <v>85</v>
      </c>
      <c r="G10" s="866">
        <v>546</v>
      </c>
      <c r="H10" s="867">
        <v>1</v>
      </c>
    </row>
    <row r="11" spans="1:61" ht="14.25" customHeight="1" x14ac:dyDescent="0.25">
      <c r="A11" s="394" t="s">
        <v>13</v>
      </c>
      <c r="B11" s="394" t="s">
        <v>38</v>
      </c>
      <c r="C11" s="394" t="s">
        <v>124</v>
      </c>
      <c r="D11" s="394" t="s">
        <v>575</v>
      </c>
      <c r="E11" s="394" t="s">
        <v>612</v>
      </c>
      <c r="F11" s="866">
        <v>1249</v>
      </c>
      <c r="G11" s="866">
        <v>4726</v>
      </c>
      <c r="H11" s="867">
        <v>1</v>
      </c>
    </row>
    <row r="12" spans="1:61" ht="14.25" customHeight="1" x14ac:dyDescent="0.25">
      <c r="A12" s="394"/>
      <c r="B12" s="394" t="s">
        <v>40</v>
      </c>
      <c r="C12" s="394" t="s">
        <v>126</v>
      </c>
      <c r="D12" s="394" t="s">
        <v>273</v>
      </c>
      <c r="E12" s="394" t="s">
        <v>612</v>
      </c>
      <c r="F12" s="866">
        <v>1343</v>
      </c>
      <c r="G12" s="866">
        <v>5945</v>
      </c>
      <c r="H12" s="867">
        <v>1</v>
      </c>
      <c r="N12" s="645"/>
    </row>
    <row r="13" spans="1:61" ht="14.25" customHeight="1" x14ac:dyDescent="0.25">
      <c r="A13" s="394"/>
      <c r="B13" s="394" t="s">
        <v>981</v>
      </c>
      <c r="C13" s="394" t="s">
        <v>125</v>
      </c>
      <c r="D13" s="394" t="s">
        <v>575</v>
      </c>
      <c r="E13" s="394" t="s">
        <v>612</v>
      </c>
      <c r="F13" s="866">
        <v>1010</v>
      </c>
      <c r="G13" s="866">
        <v>4665</v>
      </c>
      <c r="H13" s="867">
        <v>1</v>
      </c>
      <c r="N13" s="645"/>
    </row>
    <row r="14" spans="1:61" ht="14.25" customHeight="1" x14ac:dyDescent="0.25">
      <c r="A14" s="394"/>
      <c r="B14" s="394" t="s">
        <v>982</v>
      </c>
      <c r="C14" s="394" t="s">
        <v>125</v>
      </c>
      <c r="D14" s="394" t="s">
        <v>575</v>
      </c>
      <c r="E14" s="394" t="s">
        <v>612</v>
      </c>
      <c r="F14" s="866">
        <v>905</v>
      </c>
      <c r="G14" s="866">
        <v>4118</v>
      </c>
      <c r="H14" s="867">
        <v>1</v>
      </c>
      <c r="N14" s="645"/>
    </row>
    <row r="15" spans="1:61" ht="14.25" customHeight="1" x14ac:dyDescent="0.25">
      <c r="A15" s="394"/>
      <c r="B15" s="394" t="s">
        <v>41</v>
      </c>
      <c r="C15" s="394" t="s">
        <v>127</v>
      </c>
      <c r="D15" s="394" t="s">
        <v>273</v>
      </c>
      <c r="E15" s="394" t="s">
        <v>612</v>
      </c>
      <c r="F15" s="866">
        <v>617</v>
      </c>
      <c r="G15" s="866">
        <v>2845</v>
      </c>
      <c r="H15" s="867">
        <v>1</v>
      </c>
      <c r="N15" s="645"/>
    </row>
    <row r="16" spans="1:61" ht="14.25" customHeight="1" x14ac:dyDescent="0.25">
      <c r="A16" s="394" t="s">
        <v>598</v>
      </c>
      <c r="B16" s="394"/>
      <c r="C16" s="394"/>
      <c r="D16" s="394"/>
      <c r="E16" s="394"/>
      <c r="F16" s="866">
        <v>5124</v>
      </c>
      <c r="G16" s="866">
        <v>22299</v>
      </c>
      <c r="H16" s="867">
        <v>5</v>
      </c>
      <c r="N16" s="645"/>
    </row>
    <row r="17" spans="1:14" ht="14.25" customHeight="1" x14ac:dyDescent="0.25">
      <c r="A17" s="394" t="s">
        <v>17</v>
      </c>
      <c r="B17" s="394" t="s">
        <v>59</v>
      </c>
      <c r="C17" s="394" t="s">
        <v>145</v>
      </c>
      <c r="D17" s="394" t="s">
        <v>575</v>
      </c>
      <c r="E17" s="394" t="s">
        <v>612</v>
      </c>
      <c r="F17" s="866">
        <v>396</v>
      </c>
      <c r="G17" s="866">
        <v>2267</v>
      </c>
      <c r="H17" s="867">
        <v>1</v>
      </c>
      <c r="N17" s="645"/>
    </row>
    <row r="18" spans="1:14" ht="14.25" customHeight="1" x14ac:dyDescent="0.25">
      <c r="A18" s="394"/>
      <c r="B18" s="394" t="s">
        <v>509</v>
      </c>
      <c r="C18" s="394" t="s">
        <v>510</v>
      </c>
      <c r="D18" s="394" t="s">
        <v>270</v>
      </c>
      <c r="E18" s="394" t="s">
        <v>613</v>
      </c>
      <c r="F18" s="866">
        <v>41</v>
      </c>
      <c r="G18" s="866">
        <v>226</v>
      </c>
      <c r="H18" s="867">
        <v>1</v>
      </c>
      <c r="N18" s="645"/>
    </row>
    <row r="19" spans="1:14" ht="14.25" customHeight="1" x14ac:dyDescent="0.25">
      <c r="A19" s="394"/>
      <c r="B19" s="394" t="s">
        <v>581</v>
      </c>
      <c r="C19" s="394" t="s">
        <v>583</v>
      </c>
      <c r="D19" s="394" t="s">
        <v>273</v>
      </c>
      <c r="E19" s="394" t="s">
        <v>612</v>
      </c>
      <c r="F19" s="866">
        <v>1013</v>
      </c>
      <c r="G19" s="866">
        <v>4757</v>
      </c>
      <c r="H19" s="867">
        <v>1</v>
      </c>
      <c r="N19" s="645"/>
    </row>
    <row r="20" spans="1:14" ht="14.25" customHeight="1" x14ac:dyDescent="0.25">
      <c r="A20" s="394"/>
      <c r="B20" s="394" t="s">
        <v>582</v>
      </c>
      <c r="C20" s="394" t="s">
        <v>584</v>
      </c>
      <c r="D20" s="394" t="s">
        <v>273</v>
      </c>
      <c r="E20" s="394" t="s">
        <v>612</v>
      </c>
      <c r="F20" s="866">
        <v>1334</v>
      </c>
      <c r="G20" s="866">
        <v>6611</v>
      </c>
      <c r="H20" s="867">
        <v>1</v>
      </c>
      <c r="N20" s="645"/>
    </row>
    <row r="21" spans="1:14" ht="14.25" customHeight="1" x14ac:dyDescent="0.25">
      <c r="A21" s="394"/>
      <c r="B21" s="394" t="s">
        <v>61</v>
      </c>
      <c r="C21" s="394" t="s">
        <v>147</v>
      </c>
      <c r="D21" s="394" t="s">
        <v>273</v>
      </c>
      <c r="E21" s="394" t="s">
        <v>612</v>
      </c>
      <c r="F21" s="866">
        <v>1983</v>
      </c>
      <c r="G21" s="866">
        <v>11363</v>
      </c>
      <c r="H21" s="867">
        <v>1</v>
      </c>
      <c r="N21" s="645"/>
    </row>
    <row r="22" spans="1:14" ht="14.25" customHeight="1" x14ac:dyDescent="0.25">
      <c r="A22" s="394"/>
      <c r="B22" s="394" t="s">
        <v>499</v>
      </c>
      <c r="C22" s="394" t="s">
        <v>500</v>
      </c>
      <c r="D22" s="394" t="s">
        <v>270</v>
      </c>
      <c r="E22" s="394" t="s">
        <v>613</v>
      </c>
      <c r="F22" s="866">
        <v>518</v>
      </c>
      <c r="G22" s="866">
        <v>2951</v>
      </c>
      <c r="H22" s="867">
        <v>1</v>
      </c>
      <c r="N22" s="645"/>
    </row>
    <row r="23" spans="1:14" ht="14.25" customHeight="1" x14ac:dyDescent="0.25">
      <c r="A23" s="394"/>
      <c r="B23" s="394" t="s">
        <v>1054</v>
      </c>
      <c r="C23" s="394" t="s">
        <v>148</v>
      </c>
      <c r="D23" s="394" t="s">
        <v>575</v>
      </c>
      <c r="E23" s="394" t="s">
        <v>612</v>
      </c>
      <c r="F23" s="866">
        <v>400</v>
      </c>
      <c r="G23" s="866">
        <v>2306</v>
      </c>
      <c r="H23" s="867">
        <v>1</v>
      </c>
      <c r="N23" s="645"/>
    </row>
    <row r="24" spans="1:14" ht="14.25" customHeight="1" x14ac:dyDescent="0.25">
      <c r="A24" s="394"/>
      <c r="B24" s="394" t="s">
        <v>1055</v>
      </c>
      <c r="C24" s="394" t="s">
        <v>148</v>
      </c>
      <c r="D24" s="394" t="s">
        <v>575</v>
      </c>
      <c r="E24" s="394" t="s">
        <v>612</v>
      </c>
      <c r="F24" s="866">
        <v>399</v>
      </c>
      <c r="G24" s="866">
        <v>2223</v>
      </c>
      <c r="H24" s="867">
        <v>1</v>
      </c>
      <c r="N24" s="645"/>
    </row>
    <row r="25" spans="1:14" ht="14.25" customHeight="1" x14ac:dyDescent="0.25">
      <c r="A25" s="394"/>
      <c r="B25" s="394" t="s">
        <v>580</v>
      </c>
      <c r="C25" s="394" t="s">
        <v>268</v>
      </c>
      <c r="D25" s="394" t="s">
        <v>904</v>
      </c>
      <c r="E25" s="394" t="s">
        <v>612</v>
      </c>
      <c r="F25" s="866">
        <v>622</v>
      </c>
      <c r="G25" s="866">
        <v>3370</v>
      </c>
      <c r="H25" s="867">
        <v>1</v>
      </c>
      <c r="N25" s="645"/>
    </row>
    <row r="26" spans="1:14" ht="14.25" customHeight="1" x14ac:dyDescent="0.25">
      <c r="A26" s="394"/>
      <c r="B26" s="394" t="s">
        <v>585</v>
      </c>
      <c r="C26" s="394" t="s">
        <v>502</v>
      </c>
      <c r="D26" s="394" t="s">
        <v>273</v>
      </c>
      <c r="E26" s="394" t="s">
        <v>612</v>
      </c>
      <c r="F26" s="866">
        <v>734</v>
      </c>
      <c r="G26" s="866">
        <v>4007</v>
      </c>
      <c r="H26" s="867">
        <v>1</v>
      </c>
      <c r="N26" s="645"/>
    </row>
    <row r="27" spans="1:14" ht="14.25" customHeight="1" x14ac:dyDescent="0.25">
      <c r="A27" s="394"/>
      <c r="B27" s="394" t="s">
        <v>586</v>
      </c>
      <c r="C27" s="394" t="s">
        <v>588</v>
      </c>
      <c r="D27" s="394" t="s">
        <v>273</v>
      </c>
      <c r="E27" s="394" t="s">
        <v>612</v>
      </c>
      <c r="F27" s="866">
        <v>2668</v>
      </c>
      <c r="G27" s="866">
        <v>13794</v>
      </c>
      <c r="H27" s="867">
        <v>1</v>
      </c>
      <c r="N27" s="645"/>
    </row>
    <row r="28" spans="1:14" ht="14.25" customHeight="1" x14ac:dyDescent="0.25">
      <c r="A28" s="394"/>
      <c r="B28" s="394" t="s">
        <v>587</v>
      </c>
      <c r="C28" s="394" t="s">
        <v>589</v>
      </c>
      <c r="D28" s="394" t="s">
        <v>575</v>
      </c>
      <c r="E28" s="394" t="s">
        <v>612</v>
      </c>
      <c r="F28" s="866">
        <v>2259</v>
      </c>
      <c r="G28" s="866">
        <v>11322</v>
      </c>
      <c r="H28" s="867">
        <v>1</v>
      </c>
      <c r="N28" s="645"/>
    </row>
    <row r="29" spans="1:14" ht="14.25" customHeight="1" x14ac:dyDescent="0.25">
      <c r="A29" s="394"/>
      <c r="B29" s="394" t="s">
        <v>65</v>
      </c>
      <c r="C29" s="394" t="s">
        <v>151</v>
      </c>
      <c r="D29" s="394" t="s">
        <v>273</v>
      </c>
      <c r="E29" s="394" t="s">
        <v>612</v>
      </c>
      <c r="F29" s="866">
        <v>2703</v>
      </c>
      <c r="G29" s="866">
        <v>13711</v>
      </c>
      <c r="H29" s="867">
        <v>1</v>
      </c>
      <c r="N29" s="645"/>
    </row>
    <row r="30" spans="1:14" ht="14.25" customHeight="1" x14ac:dyDescent="0.25">
      <c r="A30" s="394"/>
      <c r="B30" s="394" t="s">
        <v>66</v>
      </c>
      <c r="C30" s="394" t="s">
        <v>152</v>
      </c>
      <c r="D30" s="394" t="s">
        <v>575</v>
      </c>
      <c r="E30" s="394" t="s">
        <v>612</v>
      </c>
      <c r="F30" s="866">
        <v>2272</v>
      </c>
      <c r="G30" s="866">
        <v>13072</v>
      </c>
      <c r="H30" s="867">
        <v>1</v>
      </c>
      <c r="N30" s="645"/>
    </row>
    <row r="31" spans="1:14" ht="14.25" customHeight="1" x14ac:dyDescent="0.25">
      <c r="A31" s="394"/>
      <c r="B31" s="394" t="s">
        <v>68</v>
      </c>
      <c r="C31" s="394" t="s">
        <v>154</v>
      </c>
      <c r="D31" s="394" t="s">
        <v>904</v>
      </c>
      <c r="E31" s="394" t="s">
        <v>612</v>
      </c>
      <c r="F31" s="866">
        <v>981</v>
      </c>
      <c r="G31" s="866">
        <v>5926</v>
      </c>
      <c r="H31" s="867">
        <v>1</v>
      </c>
    </row>
    <row r="32" spans="1:14" ht="14.25" customHeight="1" x14ac:dyDescent="0.25">
      <c r="A32" s="394"/>
      <c r="B32" s="394" t="s">
        <v>497</v>
      </c>
      <c r="C32" s="394" t="s">
        <v>267</v>
      </c>
      <c r="D32" s="394" t="s">
        <v>270</v>
      </c>
      <c r="E32" s="394" t="s">
        <v>613</v>
      </c>
      <c r="F32" s="866">
        <v>496</v>
      </c>
      <c r="G32" s="866">
        <v>2942</v>
      </c>
      <c r="H32" s="867">
        <v>1</v>
      </c>
    </row>
    <row r="33" spans="1:14" ht="14.25" customHeight="1" x14ac:dyDescent="0.25">
      <c r="A33" s="394" t="s">
        <v>596</v>
      </c>
      <c r="B33" s="394"/>
      <c r="C33" s="394"/>
      <c r="D33" s="394"/>
      <c r="E33" s="394"/>
      <c r="F33" s="866">
        <v>18819</v>
      </c>
      <c r="G33" s="866">
        <v>100848</v>
      </c>
      <c r="H33" s="867">
        <v>16</v>
      </c>
    </row>
    <row r="34" spans="1:14" ht="14.25" customHeight="1" x14ac:dyDescent="0.25">
      <c r="A34" s="394" t="s">
        <v>814</v>
      </c>
      <c r="B34" s="394" t="s">
        <v>36</v>
      </c>
      <c r="C34" s="394" t="s">
        <v>122</v>
      </c>
      <c r="D34" s="394" t="s">
        <v>658</v>
      </c>
      <c r="E34" s="394" t="s">
        <v>613</v>
      </c>
      <c r="F34" s="866">
        <v>655</v>
      </c>
      <c r="G34" s="866">
        <v>2690</v>
      </c>
      <c r="H34" s="867">
        <v>1</v>
      </c>
    </row>
    <row r="35" spans="1:14" ht="14.25" customHeight="1" x14ac:dyDescent="0.25">
      <c r="A35" s="394" t="s">
        <v>815</v>
      </c>
      <c r="B35" s="394"/>
      <c r="C35" s="394"/>
      <c r="D35" s="394"/>
      <c r="E35" s="394"/>
      <c r="F35" s="866">
        <v>655</v>
      </c>
      <c r="G35" s="866">
        <v>2690</v>
      </c>
      <c r="H35" s="867">
        <v>1</v>
      </c>
    </row>
    <row r="36" spans="1:14" ht="14.25" customHeight="1" x14ac:dyDescent="0.25">
      <c r="A36" s="394" t="s">
        <v>561</v>
      </c>
      <c r="B36" s="394" t="s">
        <v>56</v>
      </c>
      <c r="C36" s="394" t="s">
        <v>141</v>
      </c>
      <c r="D36" s="394" t="s">
        <v>270</v>
      </c>
      <c r="E36" s="394" t="s">
        <v>613</v>
      </c>
      <c r="F36" s="866">
        <v>415</v>
      </c>
      <c r="G36" s="866">
        <v>1050</v>
      </c>
      <c r="H36" s="867">
        <v>1</v>
      </c>
    </row>
    <row r="37" spans="1:14" ht="14.25" customHeight="1" x14ac:dyDescent="0.25">
      <c r="A37" s="394" t="s">
        <v>933</v>
      </c>
      <c r="B37" s="394"/>
      <c r="C37" s="394"/>
      <c r="D37" s="394"/>
      <c r="E37" s="394"/>
      <c r="F37" s="866">
        <v>415</v>
      </c>
      <c r="G37" s="866">
        <v>1050</v>
      </c>
      <c r="H37" s="867">
        <v>1</v>
      </c>
    </row>
    <row r="38" spans="1:14" ht="12" customHeight="1" x14ac:dyDescent="0.25">
      <c r="A38" s="394" t="s">
        <v>204</v>
      </c>
      <c r="B38" s="394"/>
      <c r="C38" s="394"/>
      <c r="D38" s="394"/>
      <c r="E38" s="394"/>
      <c r="F38" s="866">
        <v>25098</v>
      </c>
      <c r="G38" s="866">
        <v>127433</v>
      </c>
      <c r="H38" s="867">
        <v>24</v>
      </c>
    </row>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rintOptions gridLines="1"/>
  <pageMargins left="0.15748031496062992" right="0.15748031496062992" top="0.15748031496062992" bottom="0.15748031496062992" header="0" footer="0"/>
  <pageSetup paperSize="9" scale="94"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0" zoomScaleNormal="70" workbookViewId="0">
      <selection activeCell="S37" sqref="S37"/>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5"/>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5" customWidth="1"/>
    <col min="46" max="46" width="18.28515625" style="68" customWidth="1"/>
    <col min="47" max="47" width="19.42578125" style="68" customWidth="1"/>
    <col min="48" max="16384" width="9.140625" style="32"/>
  </cols>
  <sheetData>
    <row r="1" spans="1:55" s="78" customFormat="1" ht="6.75" customHeight="1" x14ac:dyDescent="0.25">
      <c r="A1" s="361"/>
      <c r="B1" s="362"/>
      <c r="C1" s="362"/>
      <c r="D1" s="362"/>
      <c r="E1" s="362"/>
      <c r="F1" s="362"/>
      <c r="G1" s="362"/>
      <c r="H1" s="362"/>
      <c r="I1" s="362"/>
      <c r="J1" s="362"/>
      <c r="K1" s="362"/>
      <c r="L1" s="362"/>
      <c r="M1" s="362"/>
      <c r="N1" s="362"/>
      <c r="O1" s="362"/>
      <c r="P1" s="362"/>
      <c r="Q1" s="363"/>
      <c r="AF1" s="645"/>
      <c r="AS1" s="645"/>
    </row>
    <row r="2" spans="1:55" s="1" customFormat="1" ht="36.75" thickBot="1" x14ac:dyDescent="0.3">
      <c r="A2" s="364"/>
      <c r="B2" s="1112"/>
      <c r="C2" s="1112"/>
      <c r="D2" s="1112"/>
      <c r="E2" s="1112"/>
      <c r="F2" s="1112"/>
      <c r="G2" s="1112"/>
      <c r="H2" s="1112"/>
      <c r="I2" s="1112"/>
      <c r="J2" s="1112"/>
      <c r="K2" s="1112"/>
      <c r="L2" s="1112"/>
      <c r="M2" s="1112"/>
      <c r="N2" s="1112"/>
      <c r="O2" s="1112"/>
      <c r="P2" s="1112"/>
      <c r="Q2" s="365"/>
      <c r="BB2" s="57"/>
      <c r="BC2" s="57"/>
    </row>
    <row r="3" spans="1:55" s="1" customFormat="1" ht="33" customHeight="1" x14ac:dyDescent="0.25">
      <c r="A3" s="1124" t="s">
        <v>554</v>
      </c>
      <c r="B3" s="1125"/>
      <c r="C3" s="1125"/>
      <c r="D3" s="1125"/>
      <c r="E3" s="1125"/>
      <c r="F3" s="1125"/>
      <c r="G3" s="1125"/>
      <c r="H3" s="1125"/>
      <c r="I3" s="1125"/>
      <c r="J3" s="1125"/>
      <c r="K3" s="1125"/>
      <c r="L3" s="511"/>
      <c r="M3" s="511"/>
      <c r="N3" s="511"/>
      <c r="O3" s="511"/>
      <c r="P3" s="511"/>
      <c r="Q3" s="363"/>
      <c r="V3" s="68"/>
      <c r="W3" s="68"/>
      <c r="X3" s="68"/>
      <c r="Y3" s="68"/>
      <c r="Z3" s="68"/>
      <c r="AA3" s="68"/>
      <c r="AB3" s="68"/>
      <c r="AC3" s="68"/>
      <c r="AD3" s="68"/>
      <c r="AE3" s="68"/>
      <c r="AF3" s="645"/>
      <c r="AG3" s="68"/>
      <c r="AH3" s="68"/>
      <c r="AI3" s="68"/>
      <c r="AJ3" s="68"/>
      <c r="AK3" s="68"/>
      <c r="AL3" s="68"/>
      <c r="AM3" s="68"/>
      <c r="AN3" s="68"/>
      <c r="AO3" s="68"/>
      <c r="AP3" s="68"/>
      <c r="AQ3" s="68"/>
      <c r="BB3" s="57"/>
      <c r="BC3" s="57"/>
    </row>
    <row r="4" spans="1:55" s="16" customFormat="1" ht="18" customHeight="1" x14ac:dyDescent="0.25">
      <c r="A4" s="1126">
        <f>Report_Date</f>
        <v>43434</v>
      </c>
      <c r="B4" s="1127"/>
      <c r="C4" s="1127"/>
      <c r="D4" s="1127"/>
      <c r="E4" s="1127"/>
      <c r="F4" s="1127"/>
      <c r="G4" s="1127"/>
      <c r="H4" s="1127"/>
      <c r="I4" s="1127"/>
      <c r="J4" s="1127"/>
      <c r="K4" s="1127"/>
      <c r="L4" s="356"/>
      <c r="M4" s="356"/>
      <c r="N4" s="356"/>
      <c r="O4" s="356"/>
      <c r="P4" s="356"/>
      <c r="Q4" s="365"/>
      <c r="R4" s="1"/>
      <c r="W4" s="68"/>
      <c r="X4" s="68"/>
      <c r="Y4" s="68"/>
      <c r="Z4" s="68"/>
      <c r="AA4" s="68"/>
      <c r="AB4" s="68"/>
      <c r="AC4" s="68"/>
      <c r="AD4" s="68"/>
      <c r="AE4" s="68"/>
      <c r="AF4" s="645"/>
      <c r="AG4" s="68"/>
      <c r="AH4" s="68"/>
      <c r="AI4" s="68"/>
      <c r="AJ4" s="68"/>
      <c r="AK4" s="68"/>
      <c r="AL4" s="68"/>
      <c r="AM4" s="68"/>
      <c r="AN4" s="68"/>
      <c r="AO4" s="68"/>
      <c r="AP4" s="68"/>
      <c r="AQ4" s="68"/>
      <c r="BB4" s="58"/>
      <c r="BC4" s="58"/>
    </row>
    <row r="5" spans="1:55"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x14ac:dyDescent="0.2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848</v>
      </c>
      <c r="AU6" s="32"/>
    </row>
    <row r="7" spans="1:55" ht="9.75" customHeight="1" x14ac:dyDescent="0.25">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x14ac:dyDescent="0.25">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x14ac:dyDescent="0.25">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x14ac:dyDescent="0.25">
      <c r="A10" s="48"/>
      <c r="B10" s="38"/>
      <c r="C10" s="38"/>
      <c r="D10" s="38"/>
      <c r="E10" s="38"/>
      <c r="F10" s="38"/>
      <c r="G10" s="38"/>
      <c r="H10" s="1119" t="s">
        <v>928</v>
      </c>
      <c r="I10" s="1121"/>
      <c r="J10" s="1122"/>
      <c r="K10" s="1122"/>
      <c r="L10" s="1123"/>
      <c r="M10" s="38"/>
      <c r="N10" s="38"/>
      <c r="O10" s="38"/>
      <c r="P10" s="38"/>
      <c r="Q10" s="367"/>
      <c r="R10" s="1"/>
      <c r="AH10" s="283" t="s">
        <v>814</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x14ac:dyDescent="0.25">
      <c r="A11" s="48"/>
      <c r="B11" s="38"/>
      <c r="C11" s="38"/>
      <c r="D11" s="38"/>
      <c r="E11" s="38"/>
      <c r="F11" s="38"/>
      <c r="G11" s="38"/>
      <c r="H11" s="1120"/>
      <c r="I11" s="983" t="s">
        <v>669</v>
      </c>
      <c r="J11" s="984" t="s">
        <v>670</v>
      </c>
      <c r="K11" s="985" t="s">
        <v>671</v>
      </c>
      <c r="L11" s="986"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x14ac:dyDescent="0.25">
      <c r="A12" s="48"/>
      <c r="B12" s="38"/>
      <c r="C12" s="38"/>
      <c r="D12" s="38"/>
      <c r="E12" s="38"/>
      <c r="F12" s="38"/>
      <c r="G12" s="38"/>
      <c r="H12" s="987" t="s">
        <v>710</v>
      </c>
      <c r="I12" s="988">
        <f>AI36</f>
        <v>2</v>
      </c>
      <c r="J12" s="988">
        <f>AJ36</f>
        <v>14</v>
      </c>
      <c r="K12" s="988">
        <f>AK36</f>
        <v>3</v>
      </c>
      <c r="L12" s="988">
        <f>AL36</f>
        <v>5</v>
      </c>
      <c r="M12" s="38"/>
      <c r="N12" s="38"/>
      <c r="O12" s="38"/>
      <c r="P12" s="38"/>
      <c r="Q12" s="368"/>
      <c r="V12" s="78"/>
      <c r="AH12" s="283" t="s">
        <v>932</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x14ac:dyDescent="0.25">
      <c r="A13" s="48"/>
      <c r="B13" s="38"/>
      <c r="C13" s="38"/>
      <c r="D13" s="38"/>
      <c r="E13" s="38"/>
      <c r="F13" s="38"/>
      <c r="G13" s="38"/>
      <c r="H13" s="987" t="s">
        <v>534</v>
      </c>
      <c r="I13" s="988">
        <f>AI17</f>
        <v>772</v>
      </c>
      <c r="J13" s="988">
        <f>AJ17</f>
        <v>44917</v>
      </c>
      <c r="K13" s="988">
        <f>AK17</f>
        <v>18482</v>
      </c>
      <c r="L13" s="988">
        <f>AL17</f>
        <v>63262</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16354</v>
      </c>
      <c r="AK13" s="282">
        <f>SUMIFS(Camp_List[Total],Camp_List[TOWNSHIP_NAME],$AH13,Camp_List[Total],"&gt;5000",Camp_List[Total],"&lt;=10000",Camp_List[Status],"Open")</f>
        <v>5945</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x14ac:dyDescent="0.25">
      <c r="A14" s="48"/>
      <c r="B14" s="38"/>
      <c r="C14" s="38"/>
      <c r="D14" s="38"/>
      <c r="E14" s="38"/>
      <c r="F14" s="38"/>
      <c r="G14" s="38"/>
      <c r="H14" s="989"/>
      <c r="I14" s="990"/>
      <c r="J14" s="990"/>
      <c r="K14" s="990"/>
      <c r="L14" s="990"/>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x14ac:dyDescent="0.25">
      <c r="A15" s="48"/>
      <c r="B15" s="38"/>
      <c r="C15" s="38"/>
      <c r="D15" s="38"/>
      <c r="E15" s="38"/>
      <c r="F15" s="38"/>
      <c r="G15" s="38"/>
      <c r="H15" s="989"/>
      <c r="I15" s="990"/>
      <c r="J15" s="990"/>
      <c r="K15" s="990"/>
      <c r="L15" s="990"/>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x14ac:dyDescent="0.25">
      <c r="A16" s="48"/>
      <c r="B16" s="38"/>
      <c r="C16" s="38"/>
      <c r="D16" s="38"/>
      <c r="E16" s="38"/>
      <c r="F16" s="38"/>
      <c r="G16" s="38"/>
      <c r="H16" s="991" t="s">
        <v>1</v>
      </c>
      <c r="I16" s="992" t="s">
        <v>530</v>
      </c>
      <c r="J16" s="992" t="s">
        <v>534</v>
      </c>
      <c r="K16" s="992" t="s">
        <v>712</v>
      </c>
      <c r="L16" s="993"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24823</v>
      </c>
      <c r="AK16" s="282">
        <f>SUMIFS(Camp_List[Total],Camp_List[TOWNSHIP_NAME],$AH16,Camp_List[Total],"&gt;5000",Camp_List[Total],"&lt;=10000",Camp_List[Status],"Open")</f>
        <v>12537</v>
      </c>
      <c r="AL16" s="282">
        <f>SUMIFS(Camp_List[Total],Camp_List[TOWNSHIP_NAME],$AH16,Camp_List[Total],"&gt;10000",Camp_List[Total],"&lt;=100000",Camp_List[Status],"Open")</f>
        <v>63262</v>
      </c>
      <c r="AM16" s="282">
        <f>SUMIFS(Camp_List[Total],Camp_List[TOWNSHIP_NAME],$AH16,Camp_List[Total],"",Camp_List[Status],"Open")</f>
        <v>0</v>
      </c>
      <c r="AN16" s="55"/>
      <c r="AR16" s="32"/>
      <c r="AT16" s="32"/>
      <c r="AU16" s="32"/>
    </row>
    <row r="17" spans="1:48" ht="18.95" customHeight="1" x14ac:dyDescent="0.25">
      <c r="A17" s="48"/>
      <c r="B17" s="38"/>
      <c r="C17" s="38"/>
      <c r="D17" s="38"/>
      <c r="E17" s="38"/>
      <c r="F17" s="38"/>
      <c r="G17" s="38"/>
      <c r="H17" s="994" t="s">
        <v>561</v>
      </c>
      <c r="I17" s="988">
        <f>SUMIFS(Camplist_HH,Camplist_Township,'CCCM Dashboard'!$H17,CampList_Status,"Open")</f>
        <v>415</v>
      </c>
      <c r="J17" s="988">
        <f>SUMIFS(Camplist_Popl,Camplist_Township,'CCCM Dashboard'!$H17,CampList_Status,"Open")</f>
        <v>1050</v>
      </c>
      <c r="K17" s="988">
        <f t="shared" ref="K17:K18" si="0">AO21</f>
        <v>1</v>
      </c>
      <c r="L17" s="995"/>
      <c r="M17" s="38"/>
      <c r="N17" s="38"/>
      <c r="O17" s="38"/>
      <c r="P17" s="1"/>
      <c r="Q17" s="49"/>
      <c r="T17" s="68"/>
      <c r="U17" s="68"/>
      <c r="AH17" s="19" t="s">
        <v>222</v>
      </c>
      <c r="AI17" s="465">
        <f>SUM(AI7:AI16)</f>
        <v>772</v>
      </c>
      <c r="AJ17" s="465">
        <f>SUM(AJ7:AJ16)</f>
        <v>44917</v>
      </c>
      <c r="AK17" s="465">
        <f>SUM(AK7:AK16)</f>
        <v>18482</v>
      </c>
      <c r="AL17" s="465">
        <f>SUM(AL7:AL16)</f>
        <v>63262</v>
      </c>
      <c r="AM17" s="465">
        <f>SUM(AM7:AM16)</f>
        <v>0</v>
      </c>
      <c r="AN17" s="466">
        <f>SUM(AI17:AM17)</f>
        <v>127433</v>
      </c>
      <c r="AT17" s="32"/>
      <c r="AU17" s="32"/>
    </row>
    <row r="18" spans="1:48" ht="18.95" customHeight="1" x14ac:dyDescent="0.25">
      <c r="A18" s="48"/>
      <c r="B18" s="38"/>
      <c r="C18" s="38"/>
      <c r="D18" s="38"/>
      <c r="E18" s="38"/>
      <c r="F18" s="38"/>
      <c r="G18" s="38"/>
      <c r="H18" s="994" t="s">
        <v>14</v>
      </c>
      <c r="I18" s="988">
        <f>SUMIFS(Camplist_HH,Camplist_Township,'CCCM Dashboard'!$H18,CampList_Status,"Open")</f>
        <v>85</v>
      </c>
      <c r="J18" s="988">
        <f>SUMIFS(Camplist_Popl,Camplist_Township,'CCCM Dashboard'!$H18,CampList_Status,"Open")</f>
        <v>546</v>
      </c>
      <c r="K18" s="988">
        <f t="shared" si="0"/>
        <v>0</v>
      </c>
      <c r="L18" s="995">
        <f>AQ22</f>
        <v>1</v>
      </c>
      <c r="M18" s="38"/>
      <c r="N18" s="38"/>
      <c r="O18" s="38"/>
      <c r="P18" s="1"/>
      <c r="Q18" s="49"/>
      <c r="T18" s="68"/>
      <c r="U18" s="68"/>
      <c r="AH18" s="32"/>
      <c r="AI18" s="32"/>
      <c r="AJ18" s="32"/>
      <c r="AK18" s="32"/>
      <c r="AL18" s="32"/>
      <c r="AM18" s="21"/>
      <c r="AN18" s="22"/>
      <c r="AT18" s="32"/>
      <c r="AU18" s="32"/>
    </row>
    <row r="19" spans="1:48" ht="18.95" customHeight="1" x14ac:dyDescent="0.25">
      <c r="A19" s="48"/>
      <c r="B19" s="38"/>
      <c r="C19" s="38"/>
      <c r="D19" s="38"/>
      <c r="E19" s="38"/>
      <c r="F19" s="38"/>
      <c r="G19" s="38"/>
      <c r="H19" s="994" t="s">
        <v>814</v>
      </c>
      <c r="I19" s="988">
        <f>SUMIFS(Camplist_HH,Camplist_Township,'CCCM Dashboard'!$H19,CampList_Status,"Open")</f>
        <v>655</v>
      </c>
      <c r="J19" s="988">
        <f>SUMIFS(Camplist_Popl,Camplist_Township,'CCCM Dashboard'!$H19,CampList_Status,"Open")</f>
        <v>2690</v>
      </c>
      <c r="K19" s="988">
        <f>AO24</f>
        <v>1</v>
      </c>
      <c r="L19" s="995"/>
      <c r="M19" s="38"/>
      <c r="N19" s="38"/>
      <c r="O19" s="38"/>
      <c r="P19" s="1"/>
      <c r="Q19" s="49"/>
      <c r="R19" s="469"/>
      <c r="T19" s="68"/>
      <c r="U19" s="68"/>
      <c r="AH19" s="645" t="s">
        <v>713</v>
      </c>
      <c r="AI19" s="32"/>
      <c r="AJ19" s="32"/>
      <c r="AK19" s="32"/>
      <c r="AL19" s="32"/>
      <c r="AM19" s="21"/>
      <c r="AN19" s="22"/>
      <c r="AT19" s="32"/>
      <c r="AU19" s="32"/>
    </row>
    <row r="20" spans="1:48" ht="18.95" customHeight="1" x14ac:dyDescent="0.25">
      <c r="A20" s="48"/>
      <c r="B20" s="38"/>
      <c r="C20" s="38"/>
      <c r="D20" s="38"/>
      <c r="E20" s="38"/>
      <c r="F20" s="38"/>
      <c r="G20" s="38"/>
      <c r="H20" s="994" t="s">
        <v>932</v>
      </c>
      <c r="I20" s="988">
        <f>SUMIFS(Camplist_HH,Camplist_Township,'CCCM Dashboard'!$H20,CampList_Status,"Open")</f>
        <v>0</v>
      </c>
      <c r="J20" s="988">
        <f>SUMIFS(Camplist_Popl,Camplist_Township,'CCCM Dashboard'!$H20,CampList_Status,"Open")</f>
        <v>0</v>
      </c>
      <c r="K20" s="988">
        <f>AO31</f>
        <v>0</v>
      </c>
      <c r="L20" s="995">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813</v>
      </c>
      <c r="AQ20" s="78" t="s">
        <v>21</v>
      </c>
      <c r="AR20" s="78" t="s">
        <v>756</v>
      </c>
      <c r="AS20" s="16" t="s">
        <v>1110</v>
      </c>
      <c r="AT20" s="32"/>
      <c r="AU20" s="32"/>
    </row>
    <row r="21" spans="1:48" ht="18.75" customHeight="1" x14ac:dyDescent="0.25">
      <c r="A21" s="48"/>
      <c r="B21" s="38"/>
      <c r="C21" s="38"/>
      <c r="D21" s="38"/>
      <c r="E21" s="38"/>
      <c r="F21" s="38"/>
      <c r="G21" s="38"/>
      <c r="H21" s="994" t="s">
        <v>13</v>
      </c>
      <c r="I21" s="988">
        <f>SUMIFS(Camplist_HH,Camplist_Township,'CCCM Dashboard'!$H21,CampList_Status,"Open")</f>
        <v>5124</v>
      </c>
      <c r="J21" s="988">
        <f>SUMIFS(Camplist_Popl,Camplist_Township,'CCCM Dashboard'!$H21,CampList_Status,"Open")</f>
        <v>22299</v>
      </c>
      <c r="K21" s="988">
        <f>AO32</f>
        <v>4</v>
      </c>
      <c r="L21" s="995">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x14ac:dyDescent="0.25">
      <c r="A22" s="48"/>
      <c r="B22" s="357"/>
      <c r="C22" s="38"/>
      <c r="D22" s="38"/>
      <c r="E22" s="38"/>
      <c r="F22" s="38"/>
      <c r="G22" s="38"/>
      <c r="H22" s="994" t="s">
        <v>16</v>
      </c>
      <c r="I22" s="988">
        <f>SUMIFS(Camplist_HH,Camplist_Township,'CCCM Dashboard'!$H22,CampList_Status,"Open")</f>
        <v>0</v>
      </c>
      <c r="J22" s="988">
        <f>SUMIFS(Camplist_Popl,Camplist_Township,'CCCM Dashboard'!$H22,CampList_Status,"Open")</f>
        <v>0</v>
      </c>
      <c r="K22" s="988">
        <f>AO33</f>
        <v>0</v>
      </c>
      <c r="L22" s="995">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x14ac:dyDescent="0.25">
      <c r="A23" s="48"/>
      <c r="B23" s="38"/>
      <c r="C23" s="38"/>
      <c r="D23" s="38"/>
      <c r="E23" s="38"/>
      <c r="F23" s="38"/>
      <c r="G23" s="38"/>
      <c r="H23" s="994" t="s">
        <v>15</v>
      </c>
      <c r="I23" s="988">
        <f>SUMIFS(Camplist_HH,Camplist_Township,'CCCM Dashboard'!$H23,CampList_Status,"Open")</f>
        <v>0</v>
      </c>
      <c r="J23" s="988">
        <f>SUMIFS(Camplist_Popl,Camplist_Township,'CCCM Dashboard'!$H23,CampList_Status,"Open")</f>
        <v>0</v>
      </c>
      <c r="K23" s="988">
        <f t="shared" ref="K23:K25" si="2">AO34</f>
        <v>0</v>
      </c>
      <c r="L23" s="995">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x14ac:dyDescent="0.25">
      <c r="A24" s="48"/>
      <c r="B24" s="38"/>
      <c r="C24" s="38"/>
      <c r="D24" s="38"/>
      <c r="E24" s="38"/>
      <c r="F24" s="38"/>
      <c r="G24" s="38"/>
      <c r="H24" s="994" t="s">
        <v>17</v>
      </c>
      <c r="I24" s="988">
        <f>SUMIFS(Camplist_HH,Camplist_Township,'CCCM Dashboard'!$H24,CampList_Status,"Open")</f>
        <v>18819</v>
      </c>
      <c r="J24" s="988">
        <f>SUMIFS(Camplist_Popl,Camplist_Township,'CCCM Dashboard'!$H24,CampList_Status,"Open")</f>
        <v>100848</v>
      </c>
      <c r="K24" s="988">
        <f t="shared" si="2"/>
        <v>12</v>
      </c>
      <c r="L24" s="995">
        <f>AQ35+AR35</f>
        <v>4</v>
      </c>
      <c r="M24" s="38"/>
      <c r="N24" s="38"/>
      <c r="O24" s="38"/>
      <c r="P24" s="1"/>
      <c r="Q24" s="49"/>
      <c r="T24" s="68"/>
      <c r="U24" s="68"/>
      <c r="AH24" s="283" t="s">
        <v>814</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x14ac:dyDescent="0.3">
      <c r="A25" s="48"/>
      <c r="B25" s="38"/>
      <c r="C25" s="38"/>
      <c r="D25" s="38"/>
      <c r="E25" s="38"/>
      <c r="F25" s="38"/>
      <c r="G25" s="358"/>
      <c r="H25" s="996" t="s">
        <v>5</v>
      </c>
      <c r="I25" s="997">
        <f>SUM(I17:I24)</f>
        <v>25098</v>
      </c>
      <c r="J25" s="997">
        <f>SUM(J17:J24)</f>
        <v>127433</v>
      </c>
      <c r="K25" s="997">
        <f t="shared" si="2"/>
        <v>18</v>
      </c>
      <c r="L25" s="998">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x14ac:dyDescent="0.25">
      <c r="A26" s="48"/>
      <c r="B26" s="38"/>
      <c r="C26" s="38"/>
      <c r="D26" s="38"/>
      <c r="E26" s="38"/>
      <c r="F26" s="38"/>
      <c r="G26" s="358"/>
      <c r="H26" s="509"/>
      <c r="I26" s="510"/>
      <c r="J26" s="510"/>
      <c r="K26" s="510"/>
      <c r="L26" s="510"/>
      <c r="M26" s="38"/>
      <c r="N26" s="38"/>
      <c r="O26" s="38"/>
      <c r="P26" s="1"/>
      <c r="Q26" s="49"/>
      <c r="AF26" s="645"/>
      <c r="AH26" s="283"/>
      <c r="AI26" s="33"/>
      <c r="AJ26" s="33"/>
      <c r="AK26" s="282"/>
      <c r="AL26" s="282"/>
      <c r="AM26" s="282"/>
      <c r="AN26" s="140"/>
      <c r="AS26" s="645"/>
    </row>
    <row r="27" spans="1:48" s="78" customFormat="1" x14ac:dyDescent="0.25">
      <c r="A27" s="48"/>
      <c r="B27" s="38"/>
      <c r="C27" s="38"/>
      <c r="D27" s="38"/>
      <c r="E27" s="38"/>
      <c r="F27" s="38"/>
      <c r="G27" s="358"/>
      <c r="H27" s="509"/>
      <c r="I27" s="510"/>
      <c r="J27" s="510"/>
      <c r="K27" s="510"/>
      <c r="L27" s="510"/>
      <c r="M27" s="38"/>
      <c r="N27" s="38"/>
      <c r="O27" s="38"/>
      <c r="P27" s="1"/>
      <c r="Q27" s="49"/>
      <c r="AF27" s="645"/>
      <c r="AH27" s="283"/>
      <c r="AI27" s="33"/>
      <c r="AJ27" s="33"/>
      <c r="AK27" s="282"/>
      <c r="AL27" s="282"/>
      <c r="AM27" s="282"/>
      <c r="AN27" s="140"/>
      <c r="AS27" s="645"/>
    </row>
    <row r="28" spans="1:48" s="78" customFormat="1" x14ac:dyDescent="0.25">
      <c r="A28" s="48"/>
      <c r="B28" s="38"/>
      <c r="C28" s="38"/>
      <c r="D28" s="38"/>
      <c r="E28" s="38"/>
      <c r="F28" s="38"/>
      <c r="G28" s="358"/>
      <c r="H28" s="509"/>
      <c r="I28" s="510"/>
      <c r="J28" s="510"/>
      <c r="K28" s="510"/>
      <c r="L28" s="510"/>
      <c r="M28" s="38"/>
      <c r="N28" s="38"/>
      <c r="O28" s="38"/>
      <c r="P28" s="1"/>
      <c r="Q28" s="49"/>
      <c r="AF28" s="645"/>
      <c r="AH28" s="283"/>
      <c r="AI28" s="33"/>
      <c r="AJ28" s="33"/>
      <c r="AK28" s="282"/>
      <c r="AL28" s="282"/>
      <c r="AM28" s="282"/>
      <c r="AN28" s="140"/>
      <c r="AS28" s="645"/>
    </row>
    <row r="29" spans="1:48" s="78" customFormat="1" x14ac:dyDescent="0.25">
      <c r="A29" s="48"/>
      <c r="B29" s="38"/>
      <c r="C29" s="38"/>
      <c r="D29" s="38"/>
      <c r="E29" s="38"/>
      <c r="F29" s="38"/>
      <c r="G29" s="358"/>
      <c r="H29" s="509"/>
      <c r="I29" s="510"/>
      <c r="J29" s="510"/>
      <c r="K29" s="510"/>
      <c r="L29" s="510"/>
      <c r="M29" s="38"/>
      <c r="N29" s="38"/>
      <c r="O29" s="38"/>
      <c r="P29" s="1"/>
      <c r="Q29" s="49"/>
      <c r="AF29" s="645"/>
      <c r="AH29" s="283"/>
      <c r="AI29" s="33"/>
      <c r="AJ29" s="33"/>
      <c r="AK29" s="282"/>
      <c r="AL29" s="282"/>
      <c r="AM29" s="282"/>
      <c r="AN29" s="140"/>
      <c r="AS29" s="645"/>
    </row>
    <row r="30" spans="1:48" s="78" customFormat="1" x14ac:dyDescent="0.25">
      <c r="A30" s="48"/>
      <c r="B30" s="38"/>
      <c r="C30" s="38"/>
      <c r="D30" s="38"/>
      <c r="E30" s="38"/>
      <c r="F30" s="38"/>
      <c r="G30" s="358"/>
      <c r="H30" s="509"/>
      <c r="I30" s="510"/>
      <c r="J30" s="510"/>
      <c r="K30" s="510"/>
      <c r="L30" s="510"/>
      <c r="M30" s="38"/>
      <c r="N30" s="38"/>
      <c r="O30" s="38"/>
      <c r="P30" s="1"/>
      <c r="Q30" s="49"/>
      <c r="AF30" s="645"/>
      <c r="AH30" s="283"/>
      <c r="AI30" s="33"/>
      <c r="AJ30" s="33"/>
      <c r="AK30" s="282"/>
      <c r="AL30" s="282"/>
      <c r="AM30" s="282"/>
      <c r="AN30" s="140"/>
      <c r="AS30" s="645"/>
    </row>
    <row r="31" spans="1:48" x14ac:dyDescent="0.25">
      <c r="A31" s="369"/>
      <c r="B31" s="38"/>
      <c r="C31" s="38"/>
      <c r="D31" s="38"/>
      <c r="E31" s="38"/>
      <c r="F31" s="38"/>
      <c r="G31" s="358"/>
      <c r="H31" s="358"/>
      <c r="I31" s="358"/>
      <c r="J31" s="359"/>
      <c r="K31" s="359"/>
      <c r="L31" s="359"/>
      <c r="M31" s="38"/>
      <c r="N31" s="38"/>
      <c r="O31" s="38"/>
      <c r="P31" s="38"/>
      <c r="Q31" s="366"/>
      <c r="AH31" s="283" t="s">
        <v>932</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x14ac:dyDescent="0.25">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5">
        <f>COUNTIFS(Camp_List[TOWNSHIP_NAME],$AH32,Camp_List[Total],"&gt;0",Camp_List[Status],"Open",Camp_List[Type of Accomodation],"Individual House")</f>
        <v>1</v>
      </c>
      <c r="AT32" s="78">
        <f>SUM(AO32:AS32)</f>
        <v>5</v>
      </c>
      <c r="AU32" s="78"/>
      <c r="AV32" s="78"/>
    </row>
    <row r="33" spans="1:48" x14ac:dyDescent="0.25">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x14ac:dyDescent="0.25">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x14ac:dyDescent="0.25">
      <c r="A35" s="369"/>
      <c r="B35" s="38"/>
      <c r="C35" s="38"/>
      <c r="D35" s="38"/>
      <c r="E35" s="38"/>
      <c r="F35" s="38"/>
      <c r="G35" s="358"/>
      <c r="H35" s="38"/>
      <c r="I35" s="38"/>
      <c r="J35" s="38"/>
      <c r="K35" s="38"/>
      <c r="L35" s="38"/>
      <c r="M35" s="38"/>
      <c r="N35" s="38"/>
      <c r="O35" s="38"/>
      <c r="P35" s="38"/>
      <c r="Q35" s="366"/>
      <c r="AF35" s="645"/>
      <c r="AH35" s="283" t="s">
        <v>17</v>
      </c>
      <c r="AI35" s="33">
        <f>COUNTIFS(Camp_List[TOWNSHIP_NAME],$AH35,Camp_List[Total],"&gt;0",Camp_List[Total],"&lt;=1000", Camp_List[Status],"Open")</f>
        <v>1</v>
      </c>
      <c r="AJ35" s="33">
        <f>COUNTIFS(Camp_List[TOWNSHIP_NAME],$AH35,Camp_List[Total],"&gt;1000",Camp_List[Total],"&lt;=5000",Camp_List[Status],"Open")</f>
        <v>8</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16</v>
      </c>
      <c r="AO35" s="78">
        <f>COUNTIFS(Camp_List[TOWNSHIP_NAME],$AH35,Camp_List[Total],"&gt;0",Camp_List[Status],"Open",Camp_List[Type of Accomodation],"Planned Camp")</f>
        <v>12</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5"/>
      <c r="AT35" s="78">
        <f t="shared" si="1"/>
        <v>16</v>
      </c>
    </row>
    <row r="36" spans="1:48" x14ac:dyDescent="0.25">
      <c r="A36" s="369"/>
      <c r="B36" s="38"/>
      <c r="C36" s="38"/>
      <c r="D36" s="38"/>
      <c r="E36" s="38"/>
      <c r="F36" s="38"/>
      <c r="G36" s="38"/>
      <c r="H36" s="38"/>
      <c r="I36" s="38"/>
      <c r="J36" s="38"/>
      <c r="K36" s="38"/>
      <c r="L36" s="38"/>
      <c r="M36" s="38"/>
      <c r="N36" s="38"/>
      <c r="O36" s="38"/>
      <c r="P36" s="38"/>
      <c r="Q36" s="366"/>
      <c r="AH36" s="292" t="s">
        <v>5</v>
      </c>
      <c r="AI36" s="464">
        <f>SUM(AI21:AI35)</f>
        <v>2</v>
      </c>
      <c r="AJ36" s="464">
        <f>SUM(AJ21:AJ35)</f>
        <v>14</v>
      </c>
      <c r="AK36" s="291">
        <f t="shared" ref="AK36:AT36" si="4">SUM(AK21:AK35)</f>
        <v>3</v>
      </c>
      <c r="AL36" s="291">
        <f t="shared" si="4"/>
        <v>5</v>
      </c>
      <c r="AM36" s="463">
        <f t="shared" si="4"/>
        <v>0</v>
      </c>
      <c r="AN36" s="140">
        <f>SUM(AN21:AN35)</f>
        <v>24</v>
      </c>
      <c r="AO36" s="261">
        <f>SUM(AO21:AO35)</f>
        <v>18</v>
      </c>
      <c r="AP36" s="140">
        <f>SUM(AP21:AP35)</f>
        <v>0</v>
      </c>
      <c r="AQ36" s="78">
        <f>SUM(AQ21:AQ35)</f>
        <v>2</v>
      </c>
      <c r="AR36" s="78">
        <f>SUM(AR21:AR35)</f>
        <v>3</v>
      </c>
      <c r="AT36" s="140">
        <f t="shared" si="4"/>
        <v>24</v>
      </c>
      <c r="AU36" s="140"/>
      <c r="AV36" s="55"/>
    </row>
    <row r="37" spans="1:48" x14ac:dyDescent="0.25">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x14ac:dyDescent="0.25">
      <c r="A38" s="369"/>
      <c r="B38" s="38"/>
      <c r="C38" s="38"/>
      <c r="D38" s="38"/>
      <c r="E38" s="38"/>
      <c r="F38" s="38"/>
      <c r="G38" s="38"/>
      <c r="H38" s="38"/>
      <c r="I38" s="38"/>
      <c r="J38" s="38"/>
      <c r="K38" s="38"/>
      <c r="L38" s="38"/>
      <c r="M38" s="38"/>
      <c r="N38" s="38"/>
      <c r="O38" s="38"/>
      <c r="P38" s="38"/>
      <c r="Q38" s="366"/>
      <c r="U38" s="68"/>
      <c r="AI38" s="32"/>
      <c r="AP38" s="32"/>
    </row>
    <row r="39" spans="1:48" s="78" customFormat="1" x14ac:dyDescent="0.25">
      <c r="A39" s="369"/>
      <c r="B39" s="38"/>
      <c r="C39" s="38"/>
      <c r="D39" s="38"/>
      <c r="E39" s="38"/>
      <c r="F39" s="38"/>
      <c r="G39" s="38"/>
      <c r="H39" s="38"/>
      <c r="I39" s="38"/>
      <c r="J39" s="38"/>
      <c r="K39" s="38"/>
      <c r="L39" s="38"/>
      <c r="M39" s="38"/>
      <c r="N39" s="38"/>
      <c r="O39" s="38"/>
      <c r="P39" s="38"/>
      <c r="Q39" s="366"/>
      <c r="AF39" s="645"/>
      <c r="AJ39" s="68"/>
      <c r="AK39" s="68"/>
      <c r="AL39" s="68"/>
      <c r="AM39" s="68"/>
      <c r="AN39" s="68"/>
      <c r="AO39" s="68"/>
      <c r="AP39" s="32"/>
      <c r="AQ39" s="68"/>
      <c r="AR39" s="68"/>
      <c r="AS39" s="645"/>
      <c r="AT39" s="68"/>
      <c r="AU39" s="68"/>
    </row>
    <row r="40" spans="1:48" ht="63.75" customHeight="1" x14ac:dyDescent="0.25">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x14ac:dyDescent="0.25">
      <c r="A41" s="369"/>
      <c r="B41" s="38"/>
      <c r="C41" s="38"/>
      <c r="D41" s="38"/>
      <c r="E41" s="38"/>
      <c r="F41" s="38"/>
      <c r="G41" s="360"/>
      <c r="H41" s="360"/>
      <c r="I41" s="360"/>
      <c r="J41" s="360"/>
      <c r="K41" s="360"/>
      <c r="L41" s="360"/>
      <c r="M41" s="38"/>
      <c r="N41" s="38"/>
      <c r="O41" s="38"/>
      <c r="P41" s="38"/>
      <c r="Q41" s="366"/>
      <c r="AF41" s="645"/>
      <c r="AJ41" s="68"/>
      <c r="AK41" s="68"/>
      <c r="AL41" s="68"/>
      <c r="AM41" s="68"/>
      <c r="AN41" s="68"/>
      <c r="AO41" s="68"/>
      <c r="AP41" s="32"/>
      <c r="AQ41" s="68"/>
      <c r="AR41" s="68"/>
      <c r="AS41" s="645"/>
      <c r="AT41" s="68"/>
      <c r="AU41" s="68"/>
    </row>
    <row r="42" spans="1:48" x14ac:dyDescent="0.25">
      <c r="A42" s="369"/>
      <c r="B42" s="38"/>
      <c r="C42" s="38"/>
      <c r="D42" s="38"/>
      <c r="E42" s="38"/>
      <c r="F42" s="38"/>
      <c r="G42" s="38"/>
      <c r="H42" s="38"/>
      <c r="I42" s="38"/>
      <c r="J42" s="38"/>
      <c r="K42" s="38"/>
      <c r="L42" s="38"/>
      <c r="M42" s="38"/>
      <c r="N42" s="38"/>
      <c r="O42" s="38"/>
      <c r="P42" s="38"/>
      <c r="Q42" s="366"/>
      <c r="AP42" s="32"/>
    </row>
    <row r="43" spans="1:48" x14ac:dyDescent="0.25">
      <c r="A43" s="369"/>
      <c r="B43" s="38"/>
      <c r="C43" s="38"/>
      <c r="D43" s="38"/>
      <c r="E43" s="38"/>
      <c r="F43" s="38"/>
      <c r="G43" s="38"/>
      <c r="H43" s="38"/>
      <c r="I43" s="38"/>
      <c r="J43" s="38"/>
      <c r="K43" s="38"/>
      <c r="L43" s="38"/>
      <c r="M43" s="38"/>
      <c r="N43" s="38"/>
      <c r="O43" s="38"/>
      <c r="P43" s="38"/>
      <c r="Q43" s="366"/>
      <c r="AP43" s="32"/>
    </row>
    <row r="44" spans="1:48" ht="3.75" customHeight="1" x14ac:dyDescent="0.25">
      <c r="A44" s="369"/>
      <c r="B44" s="38"/>
      <c r="C44" s="38"/>
      <c r="D44" s="38"/>
      <c r="E44" s="38"/>
      <c r="F44" s="38"/>
      <c r="G44" s="38"/>
      <c r="H44" s="38"/>
      <c r="I44" s="38"/>
      <c r="J44" s="38"/>
      <c r="K44" s="38"/>
      <c r="L44" s="38"/>
      <c r="M44" s="38"/>
      <c r="N44" s="38"/>
      <c r="O44" s="38"/>
      <c r="P44" s="38"/>
      <c r="Q44" s="366"/>
      <c r="AP44" s="32"/>
    </row>
    <row r="45" spans="1:48" x14ac:dyDescent="0.25">
      <c r="A45" s="369"/>
      <c r="B45" s="38"/>
      <c r="C45" s="38"/>
      <c r="D45" s="38"/>
      <c r="E45" s="38"/>
      <c r="F45" s="38"/>
      <c r="G45" s="38"/>
      <c r="H45" s="38"/>
      <c r="I45" s="38"/>
      <c r="J45" s="38"/>
      <c r="K45" s="38"/>
      <c r="L45" s="38"/>
      <c r="M45" s="38"/>
      <c r="N45" s="38"/>
      <c r="O45" s="38"/>
      <c r="P45" s="38"/>
      <c r="Q45" s="366"/>
      <c r="AP45" s="32"/>
    </row>
    <row r="46" spans="1:48" x14ac:dyDescent="0.25">
      <c r="A46" s="1113"/>
      <c r="B46" s="1114"/>
      <c r="C46" s="1114"/>
      <c r="D46" s="1114"/>
      <c r="E46" s="1114"/>
      <c r="F46" s="1114"/>
      <c r="G46" s="1114"/>
      <c r="H46" s="1114"/>
      <c r="I46" s="1114"/>
      <c r="J46" s="1114"/>
      <c r="K46" s="1114"/>
      <c r="L46" s="1114"/>
      <c r="M46" s="1114"/>
      <c r="N46" s="1114"/>
      <c r="O46" s="1114"/>
      <c r="P46" s="1114"/>
      <c r="Q46" s="1115"/>
      <c r="AP46" s="32"/>
    </row>
    <row r="47" spans="1:48" x14ac:dyDescent="0.25">
      <c r="A47" s="1113"/>
      <c r="B47" s="1114"/>
      <c r="C47" s="1114"/>
      <c r="D47" s="1114"/>
      <c r="E47" s="1114"/>
      <c r="F47" s="1114"/>
      <c r="G47" s="1114"/>
      <c r="H47" s="1114"/>
      <c r="I47" s="1114"/>
      <c r="J47" s="1114"/>
      <c r="K47" s="1114"/>
      <c r="L47" s="1114"/>
      <c r="M47" s="1114"/>
      <c r="N47" s="1114"/>
      <c r="O47" s="1114"/>
      <c r="P47" s="1114"/>
      <c r="Q47" s="1115"/>
      <c r="AP47" s="32"/>
    </row>
    <row r="48" spans="1:48" ht="15.75" thickBot="1" x14ac:dyDescent="0.3">
      <c r="A48" s="1116"/>
      <c r="B48" s="1117"/>
      <c r="C48" s="1117"/>
      <c r="D48" s="1117"/>
      <c r="E48" s="1117"/>
      <c r="F48" s="1117"/>
      <c r="G48" s="1117"/>
      <c r="H48" s="1117"/>
      <c r="I48" s="1117"/>
      <c r="J48" s="1117"/>
      <c r="K48" s="1117"/>
      <c r="L48" s="1117"/>
      <c r="M48" s="1117"/>
      <c r="N48" s="1117"/>
      <c r="O48" s="1117"/>
      <c r="P48" s="1117"/>
      <c r="Q48" s="1118"/>
      <c r="AP48" s="32"/>
    </row>
    <row r="49" spans="42:42" x14ac:dyDescent="0.25">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T a b l e C o u n t I n S a n d b o x " > < C u s t o m C o n t e n t > < ! [ C D A T A [ 2 ] ] > < / C u s t o m C o n t e n t > < / G e m i n i > 
</file>

<file path=customXml/item11.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2.xml>��< ? x m l   v e r s i o n = " 1 . 0 "   e n c o d i n g = " U T F - 1 6 " ? > < G e m i n i   x m l n s = " h t t p : / / g e m i n i / p i v o t c u s t o m i z a t i o n / T a b l e O r d e r " > < C u s t o m C o n t e n t > < ! [ C D A T A [ T a b l e _ C a m p L i s t , T a b l e _ S h e l t e r ] ] > < / C u s t o m C o n t e n t > < / G e m i n i > 
</file>

<file path=customXml/item13.xml>��< ? x m l   v e r s i o n = " 1 . 0 "   e n c o d i n g = " U T F - 1 6 " ? > < G e m i n i   x m l n s = " h t t p : / / g e m i n i / w o r k b o o k c u s t o m i z a t i o n / S a n d b o x N o n E m p t y " > < C u s t o m C o n t e n t > < ! [ C D A T A [ 1 ] ] > < / C u s t o m C o n t e n t > < / G e m i n i > 
</file>

<file path=customXml/item14.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M a n u a l C a l c M o d e " > < C u s t o m C o n t e n t > < ! [ C D A T A [ F a l s e ] ] > < / 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3.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4.xml>��< ? x m l   v e r s i o n = " 1 . 0 "   e n c o d i n g = " U T F - 1 6 " ? > < G e m i n i   x m l n s = " h t t p : / / g e m i n i / p i v o t c u s t o m i z a t i o n / C l i e n t W i n d o w X M L " > < C u s t o m C o n t e n t > < ! [ C D A T A [ T a b l e _ C a m p L i s t ] ] > < / C u s t o m C o n t e n t > < / G e m i n i > 
</file>

<file path=customXml/item5.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w o r k b o o k c u s t o m i z a t i o n / R e l a t i o n s h i p A u t o D e t e c t i o n E n a b l e d " > < C u s t o m C o n t e n t > < ! [ C D A T A [ T r u e ] ] > < / 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8.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0.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1.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3.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4.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5.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6.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3.xml><?xml version="1.0" encoding="utf-8"?>
<ds:datastoreItem xmlns:ds="http://schemas.openxmlformats.org/officeDocument/2006/customXml" ds:itemID="{BD47491D-A072-4E9A-9936-7CEEF1F17C78}">
  <ds:schemaRefs>
    <ds:schemaRef ds:uri="http://schemas.microsoft.com/office/2006/documentManagement/types"/>
    <ds:schemaRef ds:uri="c2760211-3e43-4ff7-a9ea-22e8b7d99117"/>
    <ds:schemaRef ds:uri="http://purl.org/dc/terms/"/>
    <ds:schemaRef ds:uri="http://purl.org/dc/dcmitype/"/>
    <ds:schemaRef ds:uri="410da107-b4b9-4416-82f0-a17ea7b4313c"/>
    <ds:schemaRef ds:uri="http://schemas.openxmlformats.org/package/2006/metadata/core-properties"/>
    <ds:schemaRef ds:uri="http://www.w3.org/XML/1998/namespace"/>
    <ds:schemaRef ds:uri="http://schemas.microsoft.com/office/infopath/2007/PartnerControls"/>
    <ds:schemaRef ds:uri="44d82dea-fc32-4e1e-a3c6-c3136ef66f65"/>
    <ds:schemaRef ds:uri="http://purl.org/dc/elements/1.1/"/>
    <ds:schemaRef ds:uri="96664bca-06c0-4657-b6f9-0a997f5ff9b9"/>
    <ds:schemaRef ds:uri="http://schemas.microsoft.com/sharepoint/v3"/>
    <ds:schemaRef ds:uri="http://schemas.microsoft.com/office/2006/metadata/properties"/>
  </ds:schemaRefs>
</ds:datastoreItem>
</file>

<file path=customXml/itemProps4.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5.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7.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8.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9.xml><?xml version="1.0" encoding="utf-8"?>
<ds:datastoreItem xmlns:ds="http://schemas.openxmlformats.org/officeDocument/2006/customXml" ds:itemID="{29F038A7-53D4-43C9-BA81-F04FA320B26C}">
  <ds:schemaRefs>
    <ds:schemaRef ds:uri="http://gemini/pivotcustomization/LinkedTableUpdate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2018-10-17T04:48:22Z</cp:lastPrinted>
  <dcterms:created xsi:type="dcterms:W3CDTF">2013-03-18T02:36:38Z</dcterms:created>
  <dcterms:modified xsi:type="dcterms:W3CDTF">2019-05-21T04:23:49Z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